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1.xml" ContentType="application/vnd.openxmlformats-officedocument.drawing+xml"/>
  <Override PartName="/xl/embeddings/oleObject1.bin" ContentType="application/vnd.openxmlformats-officedocument.oleObject"/>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defaultThemeVersion="124226"/>
  <mc:AlternateContent xmlns:mc="http://schemas.openxmlformats.org/markup-compatibility/2006">
    <mc:Choice Requires="x15">
      <x15ac:absPath xmlns:x15ac="http://schemas.microsoft.com/office/spreadsheetml/2010/11/ac" url="C:\AI Coding - Devin\Project 1 - Dashboard\Project 19 - GHP Projection Filing v2\outputs\GHP_Tx_2027_R08_Candidate\"/>
    </mc:Choice>
  </mc:AlternateContent>
  <xr:revisionPtr revIDLastSave="0" documentId="13_ncr:1_{38B381E9-5385-4AFB-A5A8-C266425B3051}" xr6:coauthVersionLast="47" xr6:coauthVersionMax="47" xr10:uidLastSave="{00000000-0000-0000-0000-000000000000}"/>
  <bookViews>
    <workbookView xWindow="1140" yWindow="1140" windowWidth="14400" windowHeight="8170" tabRatio="835" xr2:uid="{E6D21BDF-88E7-4F1F-BFDA-2938BCDA431B}"/>
  </bookViews>
  <sheets>
    <sheet name="Attachment H" sheetId="1" r:id="rId1"/>
    <sheet name="1-Project Rev Req" sheetId="2" r:id="rId2"/>
    <sheet name="2-Incentive ROE" sheetId="16" r:id="rId3"/>
    <sheet name="3-Project True-up" sheetId="21" r:id="rId4"/>
    <sheet name="4- Rate Base" sheetId="5" r:id="rId5"/>
    <sheet name="4a-ADIT Projection" sheetId="27" r:id="rId6"/>
    <sheet name="4b-ADIT Projection Proration" sheetId="28" r:id="rId7"/>
    <sheet name="4c- ADIT BOY" sheetId="29" r:id="rId8"/>
    <sheet name="4d- ADIT EOY" sheetId="30" r:id="rId9"/>
    <sheet name="4e-ADIT True-up" sheetId="31" r:id="rId10"/>
    <sheet name="4f-ADIT True-up Proration" sheetId="32" r:id="rId11"/>
    <sheet name="5-P3 Support" sheetId="6" r:id="rId12"/>
    <sheet name="6-True-Up Interest" sheetId="7" r:id="rId13"/>
    <sheet name="7 - PBOP" sheetId="17" r:id="rId14"/>
    <sheet name="8-Construction Loan" sheetId="22" r:id="rId15"/>
    <sheet name="9 - Const Loan True-up" sheetId="33" r:id="rId16"/>
    <sheet name="10-Dep Rates" sheetId="13" r:id="rId17"/>
    <sheet name="GLHP Taxes" sheetId="34" r:id="rId18"/>
    <sheet name="GLHP Excess Deferreds" sheetId="35" r:id="rId19"/>
    <sheet name="11-Wholesale Distribution" sheetId="24" state="hidden" r:id="rId20"/>
    <sheet name="11a-Wholesale Distribution " sheetId="25" state="hidden" r:id="rId21"/>
    <sheet name="12 Wholesale Dist True-Up" sheetId="26" state="hidden" r:id="rId22"/>
  </sheets>
  <definedNames>
    <definedName name="________________________n4" localSheetId="18">{"EXCELHLP.HLP!1802";5;10;5;10;13;13;13;8;5;5;10;14;13;13;13;13;5;10;14;13;5;10;1;2;24}</definedName>
    <definedName name="________________________n4">{"EXCELHLP.HLP!1802";5;10;5;10;13;13;13;8;5;5;10;14;13;13;13;13;5;10;14;13;5;10;1;2;24}</definedName>
    <definedName name="_______________________n4" localSheetId="18">{"EXCELHLP.HLP!1802";5;10;5;10;13;13;13;8;5;5;10;14;13;13;13;13;5;10;14;13;5;10;1;2;24}</definedName>
    <definedName name="_______________________n4">{"EXCELHLP.HLP!1802";5;10;5;10;13;13;13;8;5;5;10;14;13;13;13;13;5;10;14;13;5;10;1;2;24}</definedName>
    <definedName name="______________________n4" localSheetId="18">{"EXCELHLP.HLP!1802";5;10;5;10;13;13;13;8;5;5;10;14;13;13;13;13;5;10;14;13;5;10;1;2;24}</definedName>
    <definedName name="______________________n4">{"EXCELHLP.HLP!1802";5;10;5;10;13;13;13;8;5;5;10;14;13;13;13;13;5;10;14;13;5;10;1;2;24}</definedName>
    <definedName name="_____________________n4" localSheetId="18">{"EXCELHLP.HLP!1802";5;10;5;10;13;13;13;8;5;5;10;14;13;13;13;13;5;10;14;13;5;10;1;2;24}</definedName>
    <definedName name="_____________________n4">{"EXCELHLP.HLP!1802";5;10;5;10;13;13;13;8;5;5;10;14;13;13;13;13;5;10;14;13;5;10;1;2;24}</definedName>
    <definedName name="____________________n4" localSheetId="18">{"EXCELHLP.HLP!1802";5;10;5;10;13;13;13;8;5;5;10;14;13;13;13;13;5;10;14;13;5;10;1;2;24}</definedName>
    <definedName name="____________________n4">{"EXCELHLP.HLP!1802";5;10;5;10;13;13;13;8;5;5;10;14;13;13;13;13;5;10;14;13;5;10;1;2;24}</definedName>
    <definedName name="___________________n4" localSheetId="18">{"EXCELHLP.HLP!1802";5;10;5;10;13;13;13;8;5;5;10;14;13;13;13;13;5;10;14;13;5;10;1;2;24}</definedName>
    <definedName name="___________________n4">{"EXCELHLP.HLP!1802";5;10;5;10;13;13;13;8;5;5;10;14;13;13;13;13;5;10;14;13;5;10;1;2;24}</definedName>
    <definedName name="__________________n4" localSheetId="18">{"EXCELHLP.HLP!1802";5;10;5;10;13;13;13;8;5;5;10;14;13;13;13;13;5;10;14;13;5;10;1;2;24}</definedName>
    <definedName name="__________________n4">{"EXCELHLP.HLP!1802";5;10;5;10;13;13;13;8;5;5;10;14;13;13;13;13;5;10;14;13;5;10;1;2;24}</definedName>
    <definedName name="_________________n4" localSheetId="18">{"EXCELHLP.HLP!1802";5;10;5;10;13;13;13;8;5;5;10;14;13;13;13;13;5;10;14;13;5;10;1;2;24}</definedName>
    <definedName name="_________________n4">{"EXCELHLP.HLP!1802";5;10;5;10;13;13;13;8;5;5;10;14;13;13;13;13;5;10;14;13;5;10;1;2;24}</definedName>
    <definedName name="________________n4" localSheetId="18">{"EXCELHLP.HLP!1802";5;10;5;10;13;13;13;8;5;5;10;14;13;13;13;13;5;10;14;13;5;10;1;2;24}</definedName>
    <definedName name="________________n4">{"EXCELHLP.HLP!1802";5;10;5;10;13;13;13;8;5;5;10;14;13;13;13;13;5;10;14;13;5;10;1;2;24}</definedName>
    <definedName name="_______________n4" localSheetId="18">{"EXCELHLP.HLP!1802";5;10;5;10;13;13;13;8;5;5;10;14;13;13;13;13;5;10;14;13;5;10;1;2;24}</definedName>
    <definedName name="_______________n4">{"EXCELHLP.HLP!1802";5;10;5;10;13;13;13;8;5;5;10;14;13;13;13;13;5;10;14;13;5;10;1;2;24}</definedName>
    <definedName name="______________n4" localSheetId="18">{"EXCELHLP.HLP!1802";5;10;5;10;13;13;13;8;5;5;10;14;13;13;13;13;5;10;14;13;5;10;1;2;24}</definedName>
    <definedName name="______________n4">{"EXCELHLP.HLP!1802";5;10;5;10;13;13;13;8;5;5;10;14;13;13;13;13;5;10;14;13;5;10;1;2;24}</definedName>
    <definedName name="_____________n4" localSheetId="18">{"EXCELHLP.HLP!1802";5;10;5;10;13;13;13;8;5;5;10;14;13;13;13;13;5;10;14;13;5;10;1;2;24}</definedName>
    <definedName name="_____________n4">{"EXCELHLP.HLP!1802";5;10;5;10;13;13;13;8;5;5;10;14;13;13;13;13;5;10;14;13;5;10;1;2;24}</definedName>
    <definedName name="____________n4" localSheetId="18">{"EXCELHLP.HLP!1802";5;10;5;10;13;13;13;8;5;5;10;14;13;13;13;13;5;10;14;13;5;10;1;2;24}</definedName>
    <definedName name="____________n4">{"EXCELHLP.HLP!1802";5;10;5;10;13;13;13;8;5;5;10;14;13;13;13;13;5;10;14;13;5;10;1;2;24}</definedName>
    <definedName name="___________n4" localSheetId="18">{"EXCELHLP.HLP!1802";5;10;5;10;13;13;13;8;5;5;10;14;13;13;13;13;5;10;14;13;5;10;1;2;24}</definedName>
    <definedName name="___________n4">{"EXCELHLP.HLP!1802";5;10;5;10;13;13;13;8;5;5;10;14;13;13;13;13;5;10;14;13;5;10;1;2;24}</definedName>
    <definedName name="__________n4" localSheetId="18">{"EXCELHLP.HLP!1802";5;10;5;10;13;13;13;8;5;5;10;14;13;13;13;13;5;10;14;13;5;10;1;2;24}</definedName>
    <definedName name="__________n4">{"EXCELHLP.HLP!1802";5;10;5;10;13;13;13;8;5;5;10;14;13;13;13;13;5;10;14;13;5;10;1;2;24}</definedName>
    <definedName name="_________n4" localSheetId="18">{"EXCELHLP.HLP!1802";5;10;5;10;13;13;13;8;5;5;10;14;13;13;13;13;5;10;14;13;5;10;1;2;24}</definedName>
    <definedName name="_________n4">{"EXCELHLP.HLP!1802";5;10;5;10;13;13;13;8;5;5;10;14;13;13;13;13;5;10;14;13;5;10;1;2;24}</definedName>
    <definedName name="________n4" localSheetId="18">{"EXCELHLP.HLP!1802";5;10;5;10;13;13;13;8;5;5;10;14;13;13;13;13;5;10;14;13;5;10;1;2;24}</definedName>
    <definedName name="________n4">{"EXCELHLP.HLP!1802";5;10;5;10;13;13;13;8;5;5;10;14;13;13;13;13;5;10;14;13;5;10;1;2;24}</definedName>
    <definedName name="_______n4" localSheetId="18">{"EXCELHLP.HLP!1802";5;10;5;10;13;13;13;8;5;5;10;14;13;13;13;13;5;10;14;13;5;10;1;2;24}</definedName>
    <definedName name="_______n4">{"EXCELHLP.HLP!1802";5;10;5;10;13;13;13;8;5;5;10;14;13;13;13;13;5;10;14;13;5;10;1;2;24}</definedName>
    <definedName name="_______VAR5">"A"</definedName>
    <definedName name="______n4" localSheetId="18">{"EXCELHLP.HLP!1802";5;10;5;10;13;13;13;8;5;5;10;14;13;13;13;13;5;10;14;13;5;10;1;2;24}</definedName>
    <definedName name="______n4">{"EXCELHLP.HLP!1802";5;10;5;10;13;13;13;8;5;5;10;14;13;13;13;13;5;10;14;13;5;10;1;2;24}</definedName>
    <definedName name="______VAR5">"A"</definedName>
    <definedName name="_____n4" localSheetId="18">{"EXCELHLP.HLP!1802";5;10;5;10;13;13;13;8;5;5;10;14;13;13;13;13;5;10;14;13;5;10;1;2;24}</definedName>
    <definedName name="_____n4">{"EXCELHLP.HLP!1802";5;10;5;10;13;13;13;8;5;5;10;14;13;13;13;13;5;10;14;13;5;10;1;2;24}</definedName>
    <definedName name="_____VAR5">"A"</definedName>
    <definedName name="____n4" localSheetId="18" hidden="1">{"EXCELHLP.HLP!1802";5;10;5;10;13;13;13;8;5;5;10;14;13;13;13;13;5;10;14;13;5;10;1;2;24}</definedName>
    <definedName name="____n4" localSheetId="17" hidden="1">{"EXCELHLP.HLP!1802";5;10;5;10;13;13;13;8;5;5;10;14;13;13;13;13;5;10;14;13;5;10;1;2;24}</definedName>
    <definedName name="____n4" hidden="1">{"EXCELHLP.HLP!1802";5;10;5;10;13;13;13;8;5;5;10;14;13;13;13;13;5;10;14;13;5;10;1;2;24}</definedName>
    <definedName name="____VAR5">"A"</definedName>
    <definedName name="___n4" localSheetId="18" hidden="1">{"EXCELHLP.HLP!1802";5;10;5;10;13;13;13;8;5;5;10;14;13;13;13;13;5;10;14;13;5;10;1;2;24}</definedName>
    <definedName name="___n4" localSheetId="17" hidden="1">{"EXCELHLP.HLP!1802";5;10;5;10;13;13;13;8;5;5;10;14;13;13;13;13;5;10;14;13;5;10;1;2;24}</definedName>
    <definedName name="___n4" hidden="1">{"EXCELHLP.HLP!1802";5;10;5;10;13;13;13;8;5;5;10;14;13;13;13;13;5;10;14;13;5;10;1;2;24}</definedName>
    <definedName name="___VAR5">"A"</definedName>
    <definedName name="__FDS_HYPERLINK_TOGGLE_STATE__" hidden="1">"ON"</definedName>
    <definedName name="__IntlFixup" hidden="1">TRUE</definedName>
    <definedName name="__n4" localSheetId="18" hidden="1">{"EXCELHLP.HLP!1802";5;10;5;10;13;13;13;8;5;5;10;14;13;13;13;13;5;10;14;13;5;10;1;2;24}</definedName>
    <definedName name="__n4" localSheetId="17" hidden="1">{"EXCELHLP.HLP!1802";5;10;5;10;13;13;13;8;5;5;10;14;13;13;13;13;5;10;14;13;5;10;1;2;24}</definedName>
    <definedName name="__n4" hidden="1">{"EXCELHLP.HLP!1802";5;10;5;10;13;13;13;8;5;5;10;14;13;13;13;13;5;10;14;13;5;10;1;2;24}</definedName>
    <definedName name="__VAR5">"A"</definedName>
    <definedName name="_AMO_UniqueIdentifier" hidden="1">"'8403d099-e876-4d31-b913-cb2efff0232f'"</definedName>
    <definedName name="_ATPRegress_Dlg_Types" localSheetId="18" hidden="1">{"EXCELHLP.HLP!1802";5;10;5;10;13;13;13;8;5;5;10;14;13;13;13;13;5;10;14;13;5;10;1;2;24}</definedName>
    <definedName name="_ATPRegress_Dlg_Types" localSheetId="17" hidden="1">{"EXCELHLP.HLP!1802";5;10;5;10;13;13;13;8;5;5;10;14;13;13;13;13;5;10;14;13;5;10;1;2;24}</definedName>
    <definedName name="_ATPRegress_Dlg_Types" hidden="1">{"EXCELHLP.HLP!1802";5;10;5;10;13;13;13;8;5;5;10;14;13;13;13;13;5;10;14;13;5;10;1;2;24}</definedName>
    <definedName name="_ATPRegress_Range4" hidden="1">"="</definedName>
    <definedName name="_ATPRegress_Range5" hidden="1">"="</definedName>
    <definedName name="_n4" localSheetId="18" hidden="1">{"EXCELHLP.HLP!1802";5;10;5;10;13;13;13;8;5;5;10;14;13;13;13;13;5;10;14;13;5;10;1;2;24}</definedName>
    <definedName name="_n4" localSheetId="17" hidden="1">{"EXCELHLP.HLP!1802";5;10;5;10;13;13;13;8;5;5;10;14;13;13;13;13;5;10;14;13;5;10;1;2;24}</definedName>
    <definedName name="_n4" hidden="1">{"EXCELHLP.HLP!1802";5;10;5;10;13;13;13;8;5;5;10;14;13;13;13;13;5;10;14;13;5;10;1;2;24}</definedName>
    <definedName name="_Order.1" hidden="1">255</definedName>
    <definedName name="_Order1" hidden="1">255</definedName>
    <definedName name="_Order2" hidden="1">255</definedName>
    <definedName name="_Regression_Int">1</definedName>
    <definedName name="_Report">"Print All"</definedName>
    <definedName name="_S_Base" localSheetId="18">{0.1;0;0.382758620689655;0;0;0;0.258620689655172;0;0.258620689655172}</definedName>
    <definedName name="_S_Base">{0.1;0;0.382758620689655;0;0;0;0.258620689655172;0;0.258620689655172}</definedName>
    <definedName name="_S_new_case" localSheetId="18">{0.1;0;0.45;0;0;0;0;0;0.45}</definedName>
    <definedName name="_S_new_case">{0.1;0;0.45;0;0;0;0;0;0.45}</definedName>
    <definedName name="_VAR5">"A"</definedName>
    <definedName name="_xlcn.WorksheetConnection_CopyofCableEventCostTrackingCURRENT2.xlsxtable_cable_splice" localSheetId="18" hidden="1">table_cable_splice</definedName>
    <definedName name="_xlcn.WorksheetConnection_CopyofCableEventCostTrackingCURRENT2.xlsxtable_cable_splice" localSheetId="17" hidden="1">table_cable_splice</definedName>
    <definedName name="_xlcn.WorksheetConnection_CopyofCableEventCostTrackingCURRENT2.xlsxtable_cable_splice" hidden="1">table_cable_splice</definedName>
    <definedName name="_xlcn.WorksheetConnection_CopyofCableEventCostTrackingCURRENT2.xlsxtable_demob" localSheetId="18" hidden="1">table_demob</definedName>
    <definedName name="_xlcn.WorksheetConnection_CopyofCableEventCostTrackingCURRENT2.xlsxtable_demob" localSheetId="17" hidden="1">table_demob</definedName>
    <definedName name="_xlcn.WorksheetConnection_CopyofCableEventCostTrackingCURRENT2.xlsxtable_demob" hidden="1">table_demob</definedName>
    <definedName name="_xlcn.WorksheetConnection_CopyofCableEventCostTrackingCURRENT2.xlsxtable_inspection" localSheetId="18" hidden="1">table_inspection</definedName>
    <definedName name="_xlcn.WorksheetConnection_CopyofCableEventCostTrackingCURRENT2.xlsxtable_inspection" localSheetId="17" hidden="1">table_inspection</definedName>
    <definedName name="_xlcn.WorksheetConnection_CopyofCableEventCostTrackingCURRENT2.xlsxtable_inspection" hidden="1">table_inspection</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it">0.000000001</definedName>
    <definedName name="above">OFFSET(!A1,-1,0)</definedName>
    <definedName name="AccessDatabase">"C:\FiberNet\Sales\Sales Operations\Forecast\090902 IMPAIRMENT ANALYSIS\2003_Revenue Forecast Summary_AUG 2002 DATA.mdb"</definedName>
    <definedName name="adfhkajsdhfkjashfkjshfkjasdhfkfjdsh" localSheetId="18" hidden="1">{0,0,0,0;0,0,0,0;0,0,0,0;0,0,0,0}</definedName>
    <definedName name="adfhkajsdhfkjashfkjshfkjasdhfkfjdsh" hidden="1">{0,0,0,0;0,0,0,0;0,0,0,0;0,0,0,0}</definedName>
    <definedName name="adiuco9eujac9eqjc" localSheetId="18" hidden="1">{0,0,0,0}</definedName>
    <definedName name="adiuco9eujac9eqjc" hidden="1">{0,0,0,0}</definedName>
    <definedName name="adsdasda" localSheetId="18">{"EXCELHLP.HLP!1802";5;10;5;10;13;13;13;8;5;5;10;14;13;13;13;13;5;10;14;13;5;10;1;2;24}</definedName>
    <definedName name="adsdasda">{"EXCELHLP.HLP!1802";5;10;5;10;13;13;13;8;5;5;10;14;13;13;13;13;5;10;14;13;5;10;1;2;24}</definedName>
    <definedName name="adsfafd" localSheetId="18">{"EXCELHLP.HLP!1802";5;10;5;10;13;13;13;8;5;5;10;14;13;13;13;13;5;10;14;13;5;10;1;2;24}</definedName>
    <definedName name="adsfafd">{"EXCELHLP.HLP!1802";5;10;5;10;13;13;13;8;5;5;10;14;13;13;13;13;5;10;14;13;5;10;1;2;24}</definedName>
    <definedName name="aksdjflsakjdflsakjd" localSheetId="18" hidden="1">{0;5;10;5;10;13;13;13;8;5;5;10;14;13;13;13;13;5;10;14;13;5;10;1;2;24}</definedName>
    <definedName name="aksdjflsakjdflsakjd" hidden="1">{0;5;10;5;10;13;13;13;8;5;5;10;14;13;13;13;13;5;10;14;13;5;10;1;2;24}</definedName>
    <definedName name="Alignment" hidden="1">"a1"</definedName>
    <definedName name="AllTables" localSheetId="18">{4}</definedName>
    <definedName name="AllTables">{4}</definedName>
    <definedName name="anscount" hidden="1">1</definedName>
    <definedName name="AS2DocOpenMode" hidden="1">"AS2DocumentEdit"</definedName>
    <definedName name="AS2HasNoAutoHeaderFooter" hidden="1">" "</definedName>
    <definedName name="AS2NamedRange" hidden="1">3</definedName>
    <definedName name="AS2ReportLS" hidden="1">1</definedName>
    <definedName name="AS2SyncStepLS" localSheetId="17">3</definedName>
    <definedName name="AS2SyncStepLS" hidden="1">0</definedName>
    <definedName name="AS2TaxWorkpaper" hidden="1">" "</definedName>
    <definedName name="AS2VersionLS" hidden="1">300</definedName>
    <definedName name="asdfsdaf" localSheetId="18" hidden="1">{0;0;0;0;0;0;0;0;0;0;0;0;0;0;0;0;0;0;0;0;0;0;0;0;0;0}</definedName>
    <definedName name="asdfsdaf" hidden="1">{0;0;0;0;0;0;0;0;0;0;0;0;0;0;0;0;0;0;0;0;0;0;0;0;0;0}</definedName>
    <definedName name="asdifu9wwje9a" localSheetId="18" hidden="1">{0;0;0;0;0;0;0;0;0;0;0;0;0;0;0;0;0;0;0;0;0;0;0;0;0;0}</definedName>
    <definedName name="asdifu9wwje9a" hidden="1">{0;0;0;0;0;0;0;0;0;0;0;0;0;0;0;0;0;0;0;0;0;0;0;0;0;0}</definedName>
    <definedName name="asdifuw9jc9e" localSheetId="18" hidden="1">{0,0,0,0}</definedName>
    <definedName name="asdifuw9jc9e" hidden="1">{0,0,0,0}</definedName>
    <definedName name="ATB_TargetDescription1" hidden="1">"AmWind 6.639 Seek Spread"</definedName>
    <definedName name="ATB_TargetDescription2" hidden="1">"WindFund 6.876 Seek Spread"</definedName>
    <definedName name="ATB_TargetToValue1" hidden="1">0</definedName>
    <definedName name="ATB_TargetToValue2" hidden="1">0</definedName>
    <definedName name="atpr" localSheetId="18" hidden="1">{"EXCELHLP.HLP!1802";5;10;5;10;13;13;13;8;5;5;10;14;13;13;13;13;5;10;14;13;5;10;1;2;24}</definedName>
    <definedName name="atpr" localSheetId="17" hidden="1">{"EXCELHLP.HLP!1802";5;10;5;10;13;13;13;8;5;5;10;14;13;13;13;13;5;10;14;13;5;10;1;2;24}</definedName>
    <definedName name="atpr" hidden="1">{"EXCELHLP.HLP!1802";5;10;5;10;13;13;13;8;5;5;10;14;13;13;13;13;5;10;14;13;5;10;1;2;24}</definedName>
    <definedName name="ATXQAVersion" hidden="1">2</definedName>
    <definedName name="Beauregard">"Check Box 1"</definedName>
    <definedName name="below">OFFSET(!A1,1,0)</definedName>
    <definedName name="BG_Del" hidden="1">15</definedName>
    <definedName name="BG_Ins" hidden="1">4</definedName>
    <definedName name="BG_Mod" hidden="1">6</definedName>
    <definedName name="BookType">1</definedName>
    <definedName name="Bool_CND_Cost_Currency" localSheetId="18">OR(BP_Functionality="CLP: CDN Currency",BP_Functionality="Direct: CDN MSRP", BP_Functionality="Partner: CDN WPP")</definedName>
    <definedName name="Bool_CND_Cost_Currency" localSheetId="17">OR(BP_Functionality="CLP: CDN Currency",BP_Functionality="Direct: CDN MSRP", BP_Functionality="Partner: CDN WPP")</definedName>
    <definedName name="Bool_CND_Cost_Currency">OR(BP_Functionality="CLP: CDN Currency",BP_Functionality="Direct: CDN MSRP", BP_Functionality="Partner: CDN WPP")</definedName>
    <definedName name="Bool_USD_Cost_Currency" localSheetId="18">OR(BP_Functionality="CLP: US Currency",BP_Functionality="Direct: US MSRP",BP_Functionality="Partner: US WPP",BP_Functionality="GSA")</definedName>
    <definedName name="Bool_USD_Cost_Currency" localSheetId="17">OR(BP_Functionality="CLP: US Currency",BP_Functionality="Direct: US MSRP",BP_Functionality="Partner: US WPP",BP_Functionality="GSA")</definedName>
    <definedName name="Bool_USD_Cost_Currency">OR(BP_Functionality="CLP: US Currency",BP_Functionality="Direct: US MSRP",BP_Functionality="Partner: US WPP",BP_Functionality="GSA")</definedName>
    <definedName name="Bridge" localSheetId="18" hidden="1">{"'Highlights'!$A$1:$M$123"}</definedName>
    <definedName name="Bridge" localSheetId="17" hidden="1">{"'Highlights'!$A$1:$M$123"}</definedName>
    <definedName name="Bridge" hidden="1">{"'Highlights'!$A$1:$M$123"}</definedName>
    <definedName name="CapacityRate" localSheetId="18">HLOOKUP(ProjectYear,tblCapRate,swCaptbl+1)</definedName>
    <definedName name="CapacityRate" localSheetId="17">HLOOKUP(ProjectYear,tblCapRate,swCaptbl+1)</definedName>
    <definedName name="CapacityRate">HLOOKUP(ProjectYear,tblCapRate,swCaptbl+1)</definedName>
    <definedName name="caprate" localSheetId="18">HLOOKUP(ProjectYear,tblCapRate,swCaptbl+1)</definedName>
    <definedName name="caprate" localSheetId="17">HLOOKUP(ProjectYear,tblCapRate,swCaptbl+1)</definedName>
    <definedName name="caprate">HLOOKUP(ProjectYear,tblCapRate,swCaptbl+1)</definedName>
    <definedName name="CAPTIVE">"PALMS     "</definedName>
    <definedName name="cashsalvage">"j41"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WorkbookPriority" hidden="1">-1272788010</definedName>
    <definedName name="cccccc" localSheetId="18" hidden="1">{"EXCELHLP.HLP!1802";5;10;5;10;13;13;13;8;5;5;10;14;13;13;13;13;5;10;14;13;5;10;1;2;24}</definedName>
    <definedName name="cccccc" localSheetId="17" hidden="1">{"EXCELHLP.HLP!1802";5;10;5;10;13;13;13;8;5;5;10;14;13;13;13;13;5;10;14;13;5;10;1;2;24}</definedName>
    <definedName name="cccccc" hidden="1">{"EXCELHLP.HLP!1802";5;10;5;10;13;13;13;8;5;5;10;14;13;13;13;13;5;10;14;13;5;10;1;2;24}</definedName>
    <definedName name="CDE">"ASSE"</definedName>
    <definedName name="cell.above">!A1048576</definedName>
    <definedName name="cell.below">!A2</definedName>
    <definedName name="cell.left">!XFD1</definedName>
    <definedName name="cell.right">!B1</definedName>
    <definedName name="chart">"Chart 1"</definedName>
    <definedName name="CIQWBGuid" hidden="1">"664e8547-71ec-4d5c-9f05-86b890428491"</definedName>
    <definedName name="ClientMatter" hidden="1">"b1"</definedName>
    <definedName name="CND_Cost_Currency" localSheetId="18">OR(BP_Functionality="CLP: CDN Currency",BP_Functionality="Direct: CDN MSRP", BP_Functionality="Partner: CDN WPP")</definedName>
    <definedName name="CND_Cost_Currency" localSheetId="17">OR(BP_Functionality="CLP: CDN Currency",BP_Functionality="Direct: CDN MSRP", BP_Functionality="Partner: CDN WPP")</definedName>
    <definedName name="CND_Cost_Currency">OR(BP_Functionality="CLP: CDN Currency",BP_Functionality="Direct: CDN MSRP", BP_Functionality="Partner: CDN WPP")</definedName>
    <definedName name="CND_Currency" localSheetId="18">OR(BP_Functionality="CLP: CDN Currency",BP_Functionality="Direct: CDN MSRP", BP_Functionality="Partner: CDN WPP")</definedName>
    <definedName name="CND_Currency" localSheetId="17">OR(BP_Functionality="CLP: CDN Currency",BP_Functionality="Direct: CDN MSRP", BP_Functionality="Partner: CDN WPP")</definedName>
    <definedName name="CND_Currency">OR(BP_Functionality="CLP: CDN Currency",BP_Functionality="Direct: CDN MSRP", BP_Functionality="Partner: CDN WPP")</definedName>
    <definedName name="Company_Name">"Cavalier Homes, Inc."</definedName>
    <definedName name="Concentric_Network__Corp.">"FY99_FY00"</definedName>
    <definedName name="Cost_CND">5</definedName>
    <definedName name="Cost_CND_Col">5</definedName>
    <definedName name="Cost_USD">4</definedName>
    <definedName name="Cost_USD_Col">4</definedName>
    <definedName name="CPAGE">"37"</definedName>
    <definedName name="CPNMB">"1"</definedName>
    <definedName name="Cur_Cost" localSheetId="18">IF('GLHP Excess Deferreds'!USD_Cost_Currency,return_Cost_USD,IF('GLHP Excess Deferreds'!CND_Cost_Currency,return_Cost_CND,0))</definedName>
    <definedName name="Cur_Cost" localSheetId="17">IF('GLHP Taxes'!USD_Cost_Currency,return_Cost_USD,IF('GLHP Taxes'!CND_Cost_Currency,return_Cost_CND,0))</definedName>
    <definedName name="Cur_Cost">IF(USD_Cost_Currency,return_Cost_USD,IF(CND_Cost_Currency,return_Cost_CND,0))</definedName>
    <definedName name="Cur_List" localSheetId="18">IF(CLP_USD,return_List_USD,IF(CLP_CND,return_List_CND,IF(Direct_USD,return_MSRP_USD,IF(Direct_CND,return_MSRP_CND,IF(Partner_USD,return_WPP_USD,IF(Partner_CND,return_WPP_CND,0))))))</definedName>
    <definedName name="Cur_List" localSheetId="17">IF(CLP_USD,return_List_USD,IF(CLP_CND,return_List_CND,IF(Direct_USD,return_MSRP_USD,IF(Direct_CND,return_MSRP_CND,IF(Partner_USD,return_WPP_USD,IF(Partner_CND,return_WPP_CND,0))))))</definedName>
    <definedName name="Cur_List">IF(CLP_USD,return_List_USD,IF(CLP_CND,return_List_CND,IF(Direct_USD,return_MSRP_USD,IF(Direct_CND,return_MSRP_CND,IF(Partner_USD,return_WPP_USD,IF(Partner_CND,return_WPP_CND,0))))))</definedName>
    <definedName name="Date" hidden="1">"b1"</definedName>
    <definedName name="Days_year">365</definedName>
    <definedName name="ddddddddddddddddd" localSheetId="18" hidden="1">{0;5;10;5;10;13;13;13;8;5;5;10;14;13;13;13;13;5;10;14;13;5;10;1;2;24}</definedName>
    <definedName name="ddddddddddddddddd" hidden="1">{0;5;10;5;10;13;13;13;8;5;5;10;14;13;13;13;13;5;10;14;13;5;10;1;2;24}</definedName>
    <definedName name="Decisions">1</definedName>
    <definedName name="Deposit" localSheetId="18">HLOOKUP(ProjectYear,tblEnergyRate,swEnergytbl+1)</definedName>
    <definedName name="Deposit" localSheetId="17">HLOOKUP(ProjectYear,tblEnergyRate,swEnergytbl+1)</definedName>
    <definedName name="Deposit">HLOOKUP(ProjectYear,tblEnergyRate,swEnergytbl+1)</definedName>
    <definedName name="dlg_typs" localSheetId="18" hidden="1">{"EXCELHLP.HLP!1802";5;10;5;10;13;13;13;8;5;5;10;14;13;13;13;13;5;10;14;13;5;10;1;2;24}</definedName>
    <definedName name="dlg_typs" hidden="1">{"EXCELHLP.HLP!1802";5;10;5;10;13;13;13;8;5;5;10;14;13;13;13;13;5;10;14;13;5;10;1;2;24}</definedName>
    <definedName name="DME_BeforeCloseCompleted">"False"</definedName>
    <definedName name="DME_Dirty">"False"</definedName>
    <definedName name="DME_LocalFile">"True"</definedName>
    <definedName name="dmoe" hidden="1">"45E1EZH1GI603A6TQ7A2B7Y0J"</definedName>
    <definedName name="DocumentName" hidden="1">"b1"</definedName>
    <definedName name="DocumentNum" hidden="1">"a1"</definedName>
    <definedName name="Don_11" hidden="1">255</definedName>
    <definedName name="DVNAM">"STAN"</definedName>
    <definedName name="DVTYP">"PRINTER"</definedName>
    <definedName name="E_Rate" localSheetId="18">HLOOKUP(ProjectYear,tblEnergyRate,swEnergytbl+1)</definedName>
    <definedName name="E_Rate" localSheetId="17">HLOOKUP(ProjectYear,tblEnergyRate,swEnergytbl+1)</definedName>
    <definedName name="E_Rate">HLOOKUP(ProjectYear,tblEnergyRate,swEnergytbl+1)</definedName>
    <definedName name="edfasdfasdf" localSheetId="18">{"EXCELHLP.HLP!1802";5;10;5;10;13;13;13;8;5;5;10;14;13;13;13;13;5;10;14;13;5;10;1;2;24}</definedName>
    <definedName name="edfasdfasdf">{"EXCELHLP.HLP!1802";5;10;5;10;13;13;13;8;5;5;10;14;13;13;13;13;5;10;14;13;5;10;1;2;24}</definedName>
    <definedName name="en" localSheetId="18">HLOOKUP(ProjectYear,tblEnergyRate,swEnergytbl+1)</definedName>
    <definedName name="en" localSheetId="17">HLOOKUP(ProjectYear,tblEnergyRate,swEnergytbl+1)</definedName>
    <definedName name="en">HLOOKUP(ProjectYear,tblEnergyRate,swEnergytbl+1)</definedName>
    <definedName name="Energy" localSheetId="17">HLOOKUP(ProjectYear,tblEnergyRate,swEnergytbl+1)</definedName>
    <definedName name="Energy2" localSheetId="18">HLOOKUP(ProjectYear,tblEnergyRate,swEnergytbl+1)</definedName>
    <definedName name="Energy2" localSheetId="17">HLOOKUP(ProjectYear,tblEnergyRate,swEnergytbl+1)</definedName>
    <definedName name="Energy2">HLOOKUP(ProjectYear,tblEnergyRate,swEnergytbl+1)</definedName>
    <definedName name="EnergyRate" localSheetId="18">HLOOKUP(ProjectYear,tblEnergyRate,swEnergytbl+1)</definedName>
    <definedName name="EnergyRate" localSheetId="17">HLOOKUP(ProjectYear,tblEnergyRate,swEnergytbl+1)</definedName>
    <definedName name="EnergyRate">HLOOKUP(ProjectYear,tblEnergyRate,swEnergytbl+1)</definedName>
    <definedName name="Energyrate1" localSheetId="18">HLOOKUP(ProjectYear,tblEnergyRate,swEnergytbl+1)</definedName>
    <definedName name="Energyrate1" localSheetId="17">HLOOKUP(ProjectYear,tblEnergyRate,swEnergytbl+1)</definedName>
    <definedName name="Energyrate1">HLOOKUP(ProjectYear,tblEnergyRate,swEnergytbl+1)</definedName>
    <definedName name="EPMWorkbookOptions_1" localSheetId="17">"KU0AAB+LCAAAAAAABADtnG1vqkgUx9/f5H4H43sEBJ8a6g0XcTVRYAXbbZobAjK25CqwA63tt98BsUKhlrbsLiBJE+k8nJnz44z/mWGE+fG03TQeAXRN27pski2i2QDWyjZM6+6y+eCtMbLb/DH8/o25tuFv3bZ/i46HiroNVM9yL55c87J573nOBY7vdrvWjmrZ8A5vEwSJ/zWfyat7sNUw03I9zVqB5kst4/1aTdRqo8FwtmWBld+mYnMP"</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10" hidden="1">"zl89Pt5|dvfj/8aC/eiXa/pbJ//9vjvJNP7B||PDh/3/HGxry3|fN/2emdsM33hffLmazfGk7bjod|E03mPPX8|qq4/sC3cd3I19sepWJGXkzQmR|kcx3m79rn2WXVV20hJd7t/fVLV5/VtRNe8RmOA5EGnQg3ejK3L5VnAd|tOjjN9zspHKTiNYaWOD49DbSrFC/lkzru19DsvXNn6X4ZIgg939EkJAgtzJtCvXnBUH|P59D/6YJ8uD/6wT5Bg"</definedName>
    <definedName name="EPMWorkbookOptions_11" hidden="1">"N7H82vYeg4bvj6lo5WJD|9d2/n9pbufZYU/j9i6eKh1zYi/P|v8|k3TJI3X778/EckcSQ5e0JZytM3PyKJJcnpC1p9|X1|JDedLM7Zi//PM8n/m0zeFy|/tsW7d|/|/f39/dsbvL33MHj/H1l3AgEdk96jXymj/PuTcv//Oo9|cwQ52SXX6P9f5Pgwctz/ETl6vtCPCGL4gwjy/3Vi/L/Hvh1/9fTszdnTr23iSHPt0|Lp7U3cvfcwcf8fiemUh"</definedName>
    <definedName name="EPMWorkbookOptions_12" hidden="1">"qHYfvvWa4gK9/|VjPrNkuTs9Zufv5o9SpKzp7//2ckXPyJJSJIfiU6XKK9Pvv309//i89//1enJ8|PX/58Pef9fZP9OTt58feP33mt3||9h/f4/EuCBgo5Z9|jX4z0K8V79f51Hvxl6QHiPd5|9|PLJj|hhldn/P3yj//coMcRIL9|8|tp67NMHuzsHBw9ur8bu//9PjSkNQ049efkjTv1mOfWrr8|l729tP/3/IZt|BRal/331|un/19nyg2lw"</definedName>
    <definedName name="EPMWorkbookOptions_13" hidden="1">"cvwjGjw/|f86Cf7fo53evPl9Xp7|EPXTg///6ScmYWhEHz58|P91Fv0GqfHmzf8/0hv/75Hanzz9YfoUB///k1kioNiSn/x5m5x1JHi1c/Dzngj/P0hJ/79HPX1xevz6q1enr3|IOurhz7mO|sZ1lKGiMOjv8|bnreMfEuLl6auzL5|e/X8|BvhmqLG798WX5Gb9vE09h9T4iR8JidUWL360ZPZejQJs4o0e3z1ercpimrUEx34efGqaE7RquST"</definedName>
    <definedName name="EPMWorkbookOptions_14" hidden="1">"E6bOnWZuZj6Of0udCtUW5bD77aN62q0d377b5YrWui3FVX9z9qslrh9P4XTP76Oj3f/byi9//ycuTF9/d3fn9v6cvNdnqYrY7Pl|V42m1eHSws7OLz|5OVtO73//9v0fNd|nHyZfEHb//986zssmJSwLOeOyP5j1R8kgVo5Qd6REQ6PQr5BlkiI1SceMaDK/RffvWi3RfTx6|jiRskoH3HvJXkWX0s6e3D77/vzls4qXPTzqLGJ|/|PLF6f9/h/"</definedName>
    <definedName name="EPMWorkbookOptions_15" hidden="1">"zm7ItOjmWP/OXx/88n|usn2v6/Od7QpEN3/f63jAL|3zDeDd94X3y7mM3ype24Z7e9prbRTxZNMSnKIpI4ioajMAW3C0UfCzpHGOvju/rHhgHfjNI3MwBR7P|fHsN7Ldj/v3YMZGn|Pz0CGI7/Tw/g1pnvbxr/oPFGreWPc0NE8npeuU4luyW4Rr7Y9CqPPvJmhCr8IkUgbf6ufZZdVnXREl4cBcjLve9u8f6zom5aD4H49x1AFsuftRzk7ZW|D"</definedName>
    <definedName name="EPMWorkbookOptions_16" hidden="1">"|Br5x93/v|Xf/ygCEqhfi0/RN|NzN3t3v3ZSrGEBNllguy|Pj359v/XCfINJlo|VGrfx9OJCe7Ozj7lPG4vt7v/P5Tbrz4wDaCQf8Sq/XYdh/Zr8|m9e/fv7|/v355P9/7/x6cgYCdtc9usjcL8fyWHfjPkgLk9EXP75v8HFuYbJ8p3z17cKhOikH9|EOVHBLEE2d/Z2fnhkuObJ8f/u2zdrZM3EXP36YPdnYODB7c3d/f|/2nuiIYdi/fyR17Z"</definedName>
    <definedName name="EPMWorkbookOptions_17" hidden="1">"N8ypt07RRfiUwodPP7137z3ih/3/PzLqB6ynKdT/V3LpN0mQ46e8hv4jihiKPHv5Iy0WNLtVqyEt9tXXt7Xvn7u8//9DHfYVDC3976vXP3/DBEMDUlb/X6fB/3tE8/YraN|IbH76/z/ZBAVD27FHRBn//8IR/iZpsnPw/w|a/L9Idt/8Pi9/mML74P|HwgsShpz68OHD/6|z6DdIjTdvfrTQ8s1K7U|e/jCd4YP//8ksETDk0Z988/sfH/9/nUG"</definedName>
    <definedName name="EPMWorkbookOptions_18" hidden="1">"/OWr8KFEcNLtVqwFZ/eL0|PVXr05f/xAF9uH//wTWUFHCN6zs/P6/z5v/z8dw3ww1fkQIny1env68XfQLqUGEePEjSiglzr58enby/3VqfING7RaNAmzijR7fPV6tymKatQTHfh58apoTtGq5JMTps6dZm/HH/odvqu7gH7/Kz|u8mX|5/HKVL4/Os7LJH98NP|R2J2We1QD65fJ1dpmblt2Pue13q/rtpKrekilrmYymdf|LsP3VTGft8Vnzk1"</definedName>
    <definedName name="EPMWorkbookOptions_19" hidden="1">"ldZJMy/yKvLxyE3ue/ceLAfrkSavw/AQAA///T|y/zFL8AAA=="</definedName>
    <definedName name="EPMWorkbookOptions_2" localSheetId="17" hidden="1">"EALLuzLBLsiMZY80TwtTUbqgbcG+tZeWPLB1HqAZNLV0AZQgWANkbwVaqEPNoTqW5upPiROuSUK9DSu5mnPnkK21s2mt7O1F3+8iSsN1Z4X/Um9RcRJ9cKIgo4+1tnHBLwb3Gz92hXWcjbnSItgyd+lgI24lkhx6OvQ78KrdPZ4EsQxZKHMOtjqAS8v8+wEEVm9ZjlN+tW4ldsELyoREl+yElHlugvxNlE7Ym5gAanB1/3ws1ECxc2GZm8um"</definedName>
    <definedName name="EPMWorkbookOptions_2" hidden="1">"73ImntHK7EFLONWYoC7fE37y7nXi63fxHS3iv392AQAA"</definedName>
    <definedName name="EPMWorkbookOptions_3" hidden="1">"Bx9QaODJWiNzCyw/MrPXYvAcXV6Opsp0FPd6OlIVUWFn1XWbE+fS0ec2uuQmbYHnq+2xpCziN5qTqn6fl77H6G8pj6rrpaLcSHz8zg4Gg+r6e8W/iuMroizOnsiJZExMwwDWS8PuCV4vha5M19TNjek9Z3Jh6Isdg6flpHDzuzP0fWXw8J8TDr/fpXwc2EtXqX3wv5VL7wCSlZL7IPzBlduDZbnvQCBgpfYASdL/0/9Y4ZO6EfXzuAhLaIt8"</definedName>
    <definedName name="EPMWorkbookOptions_4" hidden="1">"bx8b5eyNDcO+pmScqhp4n1IzhUpQEa1yPfDkjbVHG5oe6lew0txXTuRlqD82oetFOpCe/8rQSy/fBpS11JdlN2pgjxsjux2CpPpkxEDajQjqitAAcEgw+P4i1brrbLRnCdoOgCisyE63swb6Gut0DRqj2+sB1u8AgBEaaNOG3qN7OuW3HK+VYnimuZ4MNmDlAWM/K0vD8868LyyS8yo9tPqpmeDbdzVb3VNT4PyAtAMg/mJ2UQPxgfT9hS4r"</definedName>
    <definedName name="EPMWorkbookOptions_5" hidden="1">"T8az6xrIAQhJEKooceOayIEIQZCqwCtTgSs7EwbP8gUc0ZB/T+w+skRL0zuCoPsEkV3uyArK3Vd3aEPLhQzVvKFICx6t5moq0T1eca5yonRTQwmhUOhS5iYqUr+ZeL5TgrewVIJKcSQw+w5fiv5RVKdD03R2/WtXT/++8qguNFrIEM2Vx1g626lAnEegeBOyjo/EeDnb3YA3gSgV2DMqltBlfhKUonXdHkn0+73sWkdVU+u+ckgjNFzISM2Z"</definedName>
    <definedName name="EPMWorkbookOptions_6" hidden="1">"iSAKpf+KL9LgzfwINH2bptulqA/s09BVHLsI4asoZaUKbCfmCOSsp6kJGmc9SU3GxvQnvxB4pUZyfK45Y4URJ5adSIFkLus5mTSR+/Cz904FRe6D52lDQ4UMyy8z4NjSMyjO0FSm84wnwHIZm90PjE0NDPTBgB5ghq5TGN0h+5i+7mmY1jUofUB12u21UYCx6ROM60ebIOkW0S17kOYNpFcDiQPp10DiQDo1kAgQqlWJDagCaV324865iF2v"</definedName>
    <definedName name="EPMWorkbookOptions_7" hidden="1">"ehPRz//kKTRZyBDNkYaiVOOEUHFGbeYj/rmM2X71xuwnf7YX2itkdOaHQlFZtqZxoCFxZ3teLQljcb5LuDQYpZ+cF0fS5jwrLxe8/B/q2qB6unaguN8VvFFKvyuYDwj/iI36Z01jT6MGEQ0L6XyPo8VpIBBTcTQt/SGBHDUtQ6FYb9ILMXja26RiqYfiyFryDVvRxORbuZgFWEPg3ouW6ADr8FPleGJQjtsADfpGRUvWHsGh5OvkoOzh9WNI"</definedName>
    <definedName name="EPMWorkbookOptions_8" hidden="1">"ybwA46F0MiNefmeEd42ZulcaNDV9A+YA3h0tJNK/fzuaDV93NvwH85n/ASlNAAA="</definedName>
    <definedName name="EPMWorkbookOptions_9" hidden="1">"M/Nx9FP6XKi2KJfNZx/N23b16O7dNl|s1nUxruqLu181ee1wGr9rZh8d/f7PXn7x|z95efLiu7s7v//39KWLir7b39t/dEC567tNtro7WU3vfv/3/x413KUfJ1||eP37Pz/9nIKo3/9751nZ5MQlAWc89kfznih5pIpRyo70yKHR6V2INMgWG2UjIhXHJydvnCnDgvfx3ovT01e3EY2vJxRfRxw2CcL7jvjkyy9e9tYyTm6/yvP/1VG/|PwkHPO"</definedName>
    <definedName name="EssAliasTable">"Default"</definedName>
    <definedName name="EssLatest" localSheetId="17">"JAN"</definedName>
    <definedName name="EssLatest">"Q1 FY99"</definedName>
    <definedName name="EssOptions" localSheetId="17">"A1100000000130000000001100010_01000"</definedName>
    <definedName name="EssOptions">"2100000010120000_01000"</definedName>
    <definedName name="EV__LASTREFTIME__" localSheetId="17">38727.5439351852</definedName>
    <definedName name="EV__LASTREFTIME__" hidden="1">39826.8319444444</definedName>
    <definedName name="Expense" localSheetId="18" hidden="1">{"'W.W. Summary'!$A$1:$K$37"}</definedName>
    <definedName name="Expense" localSheetId="17" hidden="1">{"'W.W. Summary'!$A$1:$K$37"}</definedName>
    <definedName name="Expense" hidden="1">{"'W.W. Summary'!$A$1:$K$37"}</definedName>
    <definedName name="FINOptions">"0,0,1,1,1,0,0,-1,0,0,2,0,"</definedName>
    <definedName name="First_Day">1</definedName>
    <definedName name="First_Month">1</definedName>
    <definedName name="FL_Tax_Rate">0</definedName>
    <definedName name="FMTYP">"*STD"</definedName>
    <definedName name="forward">(1.1^0.25)</definedName>
    <definedName name="FREIGHT">0.03</definedName>
    <definedName name="Frequencies" localSheetId="18">{"Annual";"Semiannual";"Quarterly";"Monthly"}</definedName>
    <definedName name="Frequencies" localSheetId="17">{"Annual";"Semiannual";"Quarterly";"Monthly"}</definedName>
    <definedName name="Frequencies">{"Annual";"Semiannual";"Quarterly";"Monthly"}</definedName>
    <definedName name="FrequencyNormalize" localSheetId="18">{"Annual","Annual",1;"Annually","Annual",1;1,"Annual",1;"Semiannual","Semiannual",2;"Semiannually","Semiannual",2;2,"Semiannual",2;"Quarterly","Quarterly",4;4,"Quarterly",4;"Monthly","Monthly",12;12,"Monthly",12}</definedName>
    <definedName name="FrequencyNormalize" localSheetId="17">{"Annual","Annual",1;"Annually","Annual",1;1,"Annual",1;"Semiannual","Semiannual",2;"Semiannually","Semiannual",2;2,"Semiannual",2;"Quarterly","Quarterly",4;4,"Quarterly",4;"Monthly","Monthly",12;12,"Monthly",12}</definedName>
    <definedName name="FrequencyNormalize">{"Annual","Annual",1;"Annually","Annual",1;1,"Annual",1;"Semiannual","Semiannual",2;"Semiannually","Semiannual",2;2,"Semiannual",2;"Quarterly","Quarterly",4;4,"Quarterly",4;"Monthly","Monthly",12;12,"Monthly",12}</definedName>
    <definedName name="gIsBlank" localSheetId="18" hidden="1">ISBLANK(gIsRef)</definedName>
    <definedName name="gIsBlank" localSheetId="17" hidden="1">ISBLANK(gIsRef)</definedName>
    <definedName name="gIsBlank" hidden="1">ISBLANK(gIsRef)</definedName>
    <definedName name="gIsError" localSheetId="18" hidden="1">ISERROR(gIsRef)</definedName>
    <definedName name="gIsError" localSheetId="17" hidden="1">ISERROR(gIsRef)</definedName>
    <definedName name="gIsError" hidden="1">ISERROR(gIsRef)</definedName>
    <definedName name="gIsNumber" localSheetId="18" hidden="1">ISNUMBER(gIsRef)</definedName>
    <definedName name="gIsNumber" localSheetId="17" hidden="1">ISNUMBER(gIsRef)</definedName>
    <definedName name="gIsNumber" hidden="1">ISNUMBER(gIsRef)</definedName>
    <definedName name="gIsPreviousSheet" localSheetId="18" hidden="1">PrevShtCellValue(gIsRef)&lt;&gt;gIsRef</definedName>
    <definedName name="gIsPreviousSheet" localSheetId="17" hidden="1">PrevShtCellValue([0]!gIsRef)&lt;&gt;[0]!gIsRef</definedName>
    <definedName name="gIsPreviousSheet" hidden="1">PrevShtCellValue(gIsRef)&lt;&gt;gIsRef</definedName>
    <definedName name="gIsRef" hidden="1">INDIRECT("rc",FALSE)</definedName>
    <definedName name="gIsText" localSheetId="18" hidden="1">ISTEXT(gIsRef)</definedName>
    <definedName name="gIsText" localSheetId="17" hidden="1">ISTEXT(gIsRef)</definedName>
    <definedName name="gIsText" hidden="1">ISTEXT(gIsRef)</definedName>
    <definedName name="GS_CIQ_6_4_UPGRADED">"GS_CIQ_6_4_UPGRADED"</definedName>
    <definedName name="HKJHLKJHLKJH" localSheetId="18" hidden="1">{0;0;0;0;0;0;0;0;0;0;0;0;0;0;0;0;0;0;"__ [0]____EWC 43.5MW8oMtresc 3_25_02v2w_esc";0;0;0;0;0;0;0}</definedName>
    <definedName name="HKJHLKJHLKJH" hidden="1">{0;0;0;0;0;0;0;0;0;0;0;0;0;0;0;0;0;0;"__ [0]____EWC 43.5MW8oMtresc 3_25_02v2w_esc";0;0;0;0;0;0;0}</definedName>
    <definedName name="HspLogonApplication">"'CorpFin'"</definedName>
    <definedName name="HspLogonDomain">"'NA1'"</definedName>
    <definedName name="HspLogonServer">"'il06nssftt100'"</definedName>
    <definedName name="HspLogonUserName">"'EFIN47'"</definedName>
    <definedName name="HTML_CodePage" hidden="1">1252</definedName>
    <definedName name="HTML_Control" localSheetId="18" hidden="1">{"'W.W. Summary'!$A$1:$K$37"}</definedName>
    <definedName name="HTML_Control" localSheetId="17" hidden="1">{"'W.W. Summary'!$A$1:$K$37"}</definedName>
    <definedName name="HTML_Control" hidden="1">{"'W.W. Summary'!$A$1:$K$37"}</definedName>
    <definedName name="HTML_Control_1" localSheetId="18" hidden="1">{"'360068'!$A$1:$P$225"}</definedName>
    <definedName name="HTML_Control_1" localSheetId="17" hidden="1">{"'360068'!$A$1:$P$225"}</definedName>
    <definedName name="HTML_Control_1" hidden="1">{"'360068'!$A$1:$P$225"}</definedName>
    <definedName name="HTML_Control_2" localSheetId="18" hidden="1">{"'360068'!$A$1:$P$225"}</definedName>
    <definedName name="HTML_Control_2" localSheetId="17" hidden="1">{"'360068'!$A$1:$P$225"}</definedName>
    <definedName name="HTML_Control_2" hidden="1">{"'360068'!$A$1:$P$225"}</definedName>
    <definedName name="HTML_Control_3" localSheetId="18" hidden="1">{"'360068'!$A$1:$P$225"}</definedName>
    <definedName name="HTML_Control_3" localSheetId="17" hidden="1">{"'360068'!$A$1:$P$225"}</definedName>
    <definedName name="HTML_Control_3" hidden="1">{"'360068'!$A$1:$P$225"}</definedName>
    <definedName name="HTML_Control_4" localSheetId="18" hidden="1">{"'360068'!$A$1:$P$225"}</definedName>
    <definedName name="HTML_Control_4" localSheetId="17" hidden="1">{"'360068'!$A$1:$P$225"}</definedName>
    <definedName name="HTML_Control_4" hidden="1">{"'360068'!$A$1:$P$225"}</definedName>
    <definedName name="HTML_Control_454" localSheetId="18" hidden="1">{"'360068'!$A$1:$P$225"}</definedName>
    <definedName name="HTML_Control_454" localSheetId="17" hidden="1">{"'360068'!$A$1:$P$225"}</definedName>
    <definedName name="HTML_Control_454" hidden="1">{"'360068'!$A$1:$P$225"}</definedName>
    <definedName name="HTML_Control_5" localSheetId="18" hidden="1">{"'360068'!$A$1:$P$225"}</definedName>
    <definedName name="HTML_Control_5" localSheetId="17" hidden="1">{"'360068'!$A$1:$P$225"}</definedName>
    <definedName name="HTML_Control_5" hidden="1">{"'360068'!$A$1:$P$225"}</definedName>
    <definedName name="HTML_Control2" localSheetId="18" hidden="1">{"'W.W. Summary'!$A$1:$K$37"}</definedName>
    <definedName name="HTML_Control2" localSheetId="17" hidden="1">{"'W.W. Summary'!$A$1:$K$37"}</definedName>
    <definedName name="HTML_Control2" hidden="1">{"'W.W. Summary'!$A$1:$K$37"}</definedName>
    <definedName name="HTML_Description" hidden="1">""</definedName>
    <definedName name="HTML_Email" hidden="1">""</definedName>
    <definedName name="HTML_Header" hidden="1">"Finance"</definedName>
    <definedName name="HTML_LastUpdate" hidden="1">"2/3/98"</definedName>
    <definedName name="HTML_LineAfter" hidden="1">FALSE</definedName>
    <definedName name="HTML_LineBefore" hidden="1">FALSE</definedName>
    <definedName name="HTML_Name" hidden="1">"G14163"</definedName>
    <definedName name="HTML_OBDlg2" hidden="1">TRUE</definedName>
    <definedName name="HTML_OBDlg4" hidden="1">TRUE</definedName>
    <definedName name="HTML_OS" hidden="1">0</definedName>
    <definedName name="HTML_PathFile" hidden="1">"L:\RAPTOR\INET0198\SECTCOST\summ.htm"</definedName>
    <definedName name="HTML_Title" hidden="1">"SECTOR1"</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INCLUDE_ADJUSTMENTS__0_NO__1_YES">"ADJ2"</definedName>
    <definedName name="inflList" hidden="1">"10000000000000000000000000000000000000000000000000000000000000000000000000000000000000000000000000000000000000000000000000000000000000000000000000000000000000000000000000000000000000000000000000000000"</definedName>
    <definedName name="InitializeCommand">"$d$1"</definedName>
    <definedName name="IPATH">"I:\Compleo template\Import Templates"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localSheetId="17" hidden="1">"c413"</definedName>
    <definedName name="IQ_ACCOUNT_CHANGE" hidden="1">"c1449"</definedName>
    <definedName name="IQ_ACCOUNTS_PAY" localSheetId="17" hidden="1">"c32"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localSheetId="17" hidden="1">"c8"</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localSheetId="17" hidden="1">"c7"</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localSheetId="17" hidden="1">"c39"</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localSheetId="17" hidden="1">"c16"</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localSheetId="17" hidden="1">"c1471"</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"c5315"</definedName>
    <definedName name="IQ_AVG_BROKER_REC_REUT">"c3630"</definedName>
    <definedName name="IQ_AVG_DAILY_VOL" hidden="1">"c65"</definedName>
    <definedName name="IQ_AVG_INDUSTRY_REC">"c4455"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localSheetId="17" hidden="1">"c65"</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localSheetId="17" hidden="1">"c88"</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"c4067"</definedName>
    <definedName name="IQ_BUS_SEG_ASSETS_ABS">"c4089"</definedName>
    <definedName name="IQ_BUS_SEG_ASSETS_TOTAL">"c4112"</definedName>
    <definedName name="IQ_BUS_SEG_CAPEX">"c4079"</definedName>
    <definedName name="IQ_BUS_SEG_CAPEX_ABS">"c4101"</definedName>
    <definedName name="IQ_BUS_SEG_CAPEX_TOTAL">"c4116"</definedName>
    <definedName name="IQ_BUS_SEG_DA">"c4078"</definedName>
    <definedName name="IQ_BUS_SEG_DA_ABS">"c4100"</definedName>
    <definedName name="IQ_BUS_SEG_DA_TOTAL">"c4115"</definedName>
    <definedName name="IQ_BUS_SEG_EARNINGS_OP">"c4063"</definedName>
    <definedName name="IQ_BUS_SEG_EARNINGS_OP_ABS">"c4085"</definedName>
    <definedName name="IQ_BUS_SEG_EARNINGS_OP_TOTAL">"c4108"</definedName>
    <definedName name="IQ_BUS_SEG_EBT">"c4064"</definedName>
    <definedName name="IQ_BUS_SEG_EBT_ABS">"c4086"</definedName>
    <definedName name="IQ_BUS_SEG_EBT_TOTAL">"c4110"</definedName>
    <definedName name="IQ_BUS_SEG_GP">"c4066"</definedName>
    <definedName name="IQ_BUS_SEG_GP_ABS">"c4088"</definedName>
    <definedName name="IQ_BUS_SEG_GP_TOTAL">"c4109"</definedName>
    <definedName name="IQ_BUS_SEG_INC_TAX">"c4077"</definedName>
    <definedName name="IQ_BUS_SEG_INC_TAX_ABS">"c4099"</definedName>
    <definedName name="IQ_BUS_SEG_INC_TAX_TOTAL">"c4114"</definedName>
    <definedName name="IQ_BUS_SEG_INTEREST_EXP">"c4076"</definedName>
    <definedName name="IQ_BUS_SEG_INTEREST_EXP_ABS">"c4098"</definedName>
    <definedName name="IQ_BUS_SEG_INTEREST_EXP_TOTAL">"c4113"</definedName>
    <definedName name="IQ_BUS_SEG_NAME">"c5482"</definedName>
    <definedName name="IQ_BUS_SEG_NAME_ABS">"c5483"</definedName>
    <definedName name="IQ_BUS_SEG_NI">"c4065"</definedName>
    <definedName name="IQ_BUS_SEG_NI_ABS">"c4087"</definedName>
    <definedName name="IQ_BUS_SEG_NI_TOTAL">"c4111"</definedName>
    <definedName name="IQ_BUS_SEG_OPER_INC">"c4062"</definedName>
    <definedName name="IQ_BUS_SEG_OPER_INC_ABS">"c4084"</definedName>
    <definedName name="IQ_BUS_SEG_OPER_INC_TOTAL">"c4107"</definedName>
    <definedName name="IQ_BUS_SEG_REV">"c4068"</definedName>
    <definedName name="IQ_BUS_SEG_REV_ABS">"c4090"</definedName>
    <definedName name="IQ_BUS_SEG_REV_TOTAL">"c4106"</definedName>
    <definedName name="IQ_BUSINESS_DESCRIPTION" hidden="1">"c322"</definedName>
    <definedName name="IQ_BV_OVER_SHARES" localSheetId="17" hidden="1">"c100"</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HIGH_EST" hidden="1">"c3524"</definedName>
    <definedName name="IQ_CAPEX_INS" hidden="1">"c113"</definedName>
    <definedName name="IQ_CAPEX_LOW_EST" hidden="1">"c3525"</definedName>
    <definedName name="IQ_CAPEX_MEDIAN_EST" hidden="1">"c3526"</definedName>
    <definedName name="IQ_CAPEX_NUM_EST" hidden="1">"c3521"</definedName>
    <definedName name="IQ_CAPEX_STDDEV_EST" hidden="1">"c3522"</definedName>
    <definedName name="IQ_CAPEX_UTI" hidden="1">"c114"</definedName>
    <definedName name="IQ_CAPITAL_LEASE" localSheetId="17" hidden="1">"c115"</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localSheetId="17" hidden="1">"c118"</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localSheetId="17" hidden="1">"c118"</definedName>
    <definedName name="IQ_CASH_DUE_BANKS" hidden="1">"c1351"</definedName>
    <definedName name="IQ_CASH_EQUIV" hidden="1">"c118"</definedName>
    <definedName name="IQ_CASH_FINAN" hidden="1">"c119"</definedName>
    <definedName name="IQ_CASH_FLOW_ACT_OR_EST">"c4154"</definedName>
    <definedName name="IQ_CASH_IN_PROCESS_FDIC" hidden="1">"c6386"</definedName>
    <definedName name="IQ_CASH_INTEREST" hidden="1">"c120"</definedName>
    <definedName name="IQ_CASH_INVEST" hidden="1">"c121"</definedName>
    <definedName name="IQ_CASH_OPER" hidden="1">"c122"</definedName>
    <definedName name="IQ_CASH_OPER_ACT_OR_EST">"c4164"</definedName>
    <definedName name="IQ_CASH_SEGREG" hidden="1">"c123"</definedName>
    <definedName name="IQ_CASH_SHARE" hidden="1">"c1911"</definedName>
    <definedName name="IQ_CASH_ST" localSheetId="17" hidden="1">"c124"</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localSheetId="17"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localSheetId="17" hidden="1">"c182"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localSheetId="17"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localSheetId="17" hidden="1">"c274"</definedName>
    <definedName name="IQ_DAYS_PAY_OUTST" hidden="1">"c1362"</definedName>
    <definedName name="IQ_DAYS_PAYABLE_OUT" hidden="1">"c274"</definedName>
    <definedName name="IQ_DAYS_SALES_OUT" hidden="1">"c275"</definedName>
    <definedName name="IQ_DAYS_SALES_OUTST" localSheetId="17"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localSheetId="17" hidden="1">"c301"</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localSheetId="17" hidden="1">"c313"</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localSheetId="17" hidden="1">"c315"</definedName>
    <definedName name="IQ_DEFERRED_INC_TAX" hidden="1">"c1447"</definedName>
    <definedName name="IQ_DEFERRED_TAXES" localSheetId="17" hidden="1">"c147"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localSheetId="17" hidden="1">"c247"</definedName>
    <definedName name="IQ_DEPRE_AMORT" hidden="1">"c1360"</definedName>
    <definedName name="IQ_DEPRE_AMORT_SUPPL" hidden="1">"c1593"</definedName>
    <definedName name="IQ_DEPRE_DEPLE" localSheetId="17" hidden="1">"c261"</definedName>
    <definedName name="IQ_DEPRE_DEPLE" hidden="1">"c1361"</definedName>
    <definedName name="IQ_DEPRE_SUPP" hidden="1">"c1443"</definedName>
    <definedName name="IQ_DERIVATIVES_FDIC" hidden="1">"c6523"</definedName>
    <definedName name="IQ_DESCRIPTION_LONG" localSheetId="17" hidden="1">"c322"</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localSheetId="17" hidden="1">"c333"</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"c4278"</definedName>
    <definedName name="IQ_DISTRIBUTABLE_CASH_PAYOUT" hidden="1">"c3005"</definedName>
    <definedName name="IQ_DISTRIBUTABLE_CASH_SHARE" hidden="1">"c3003"</definedName>
    <definedName name="IQ_DISTRIBUTABLE_CASH_SHARE_ACT_OR_EST">"c4286"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localSheetId="17" hidden="1">"c330"</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"c5314"</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localSheetId="17" hidden="1">"c360"</definedName>
    <definedName name="IQ_EBIT_OVER_IE" hidden="1">"c1369"</definedName>
    <definedName name="IQ_EBIT_SBC_ACT_OR_EST">"c4316"</definedName>
    <definedName name="IQ_EBIT_SBC_GW_ACT_OR_EST">"c4320"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localSheetId="17"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"c3640"</definedName>
    <definedName name="IQ_EBITDA_EXCL_SBC" hidden="1">"c3081"</definedName>
    <definedName name="IQ_EBITDA_HIGH_EST" hidden="1">"c370"</definedName>
    <definedName name="IQ_EBITDA_HIGH_EST_REUT">"c3642"</definedName>
    <definedName name="IQ_EBITDA_INT" hidden="1">"c373"</definedName>
    <definedName name="IQ_EBITDA_LOW_EST" hidden="1">"c371"</definedName>
    <definedName name="IQ_EBITDA_LOW_EST_REUT">"c3643"</definedName>
    <definedName name="IQ_EBITDA_MARGIN" hidden="1">"c372"</definedName>
    <definedName name="IQ_EBITDA_MEDIAN_EST" hidden="1">"c1663"</definedName>
    <definedName name="IQ_EBITDA_MEDIAN_EST_REUT">"c3641"</definedName>
    <definedName name="IQ_EBITDA_NUM_EST" hidden="1">"c374"</definedName>
    <definedName name="IQ_EBITDA_NUM_EST_REUT">"c3644"</definedName>
    <definedName name="IQ_EBITDA_OVER_TOTAL_IE" localSheetId="17" hidden="1">"c373"</definedName>
    <definedName name="IQ_EBITDA_OVER_TOTAL_IE" hidden="1">"c1371"</definedName>
    <definedName name="IQ_EBITDA_SBC_ACT_OR_EST">"c4337"</definedName>
    <definedName name="IQ_EBITDA_STDDEV_EST" hidden="1">"c375"</definedName>
    <definedName name="IQ_EBITDA_STDDEV_EST_REUT">"c3645"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"c4350"</definedName>
    <definedName name="IQ_EBT_SBC_GW_ACT_OR_EST">"c4354"</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localSheetId="17" hidden="1">"c84"</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"c5453"</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"c5454"</definedName>
    <definedName name="IQ_EPS_LOW_EST" hidden="1">"c401"</definedName>
    <definedName name="IQ_EPS_LOW_EST_REUT">"c5455"</definedName>
    <definedName name="IQ_EPS_MEDIAN_EST" hidden="1">"c1661"</definedName>
    <definedName name="IQ_EPS_MEDIAN_EST_REUT">"c5456"</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"c4376"</definedName>
    <definedName name="IQ_EPS_SBC_GW_ACT_OR_EST">"c4380"</definedName>
    <definedName name="IQ_EPS_STDDEV_EST" hidden="1">"c403"</definedName>
    <definedName name="IQ_EPS_STDDEV_EST_REUT">"c5452"</definedName>
    <definedName name="IQ_EQUITY_AFFIL" localSheetId="17" hidden="1">"c552"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localSheetId="17" hidden="1">"c739"</definedName>
    <definedName name="IQ_EQV_OVER_LTM_PRETAX_INC" hidden="1">"c1390"</definedName>
    <definedName name="IQ_ESOP_DEBT" hidden="1">"c1597"</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FFO_SHARE_SHARE_THOM" hidden="1">"c4005"</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"c5437"</definedName>
    <definedName name="IQ_EST_DATE" hidden="1">"c1634"</definedName>
    <definedName name="IQ_EST_DATE_REUT">"c5438"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"c3633"</definedName>
    <definedName name="IQ_EST_EPS_GROWTH_5YR_STDDEV" hidden="1">"c1660"</definedName>
    <definedName name="IQ_EST_EPS_GROWTH_Q_1YR" hidden="1">"c1641"</definedName>
    <definedName name="IQ_EST_EPS_GROWTH_Q_1YR_REUT">"c5410"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THOM" hidden="1">"c5186"</definedName>
    <definedName name="IQ_EST_FFO_SHARE_SHARE_SURPRISE_PERCENT_THOM" hidden="1">"c5187"</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"c5564"</definedName>
    <definedName name="IQ_ESTIMATED_ASSESSABLE_DEPOSITS_FDIC" hidden="1">"c6490"</definedName>
    <definedName name="IQ_ESTIMATED_INSURED_DEPOSITS_FDIC" hidden="1">"c6491"</definedName>
    <definedName name="IQ_EV_OVER_EMPLOYEE" localSheetId="17" hidden="1">"c1225"</definedName>
    <definedName name="IQ_EV_OVER_EMPLOYEE" hidden="1">"c1428"</definedName>
    <definedName name="IQ_EV_OVER_LTM_EBIT" localSheetId="17" hidden="1">"c1221"</definedName>
    <definedName name="IQ_EV_OVER_LTM_EBIT" hidden="1">"c1426"</definedName>
    <definedName name="IQ_EV_OVER_LTM_EBITDA" localSheetId="17" hidden="1">"c1223"</definedName>
    <definedName name="IQ_EV_OVER_LTM_EBITDA" hidden="1">"c1427"</definedName>
    <definedName name="IQ_EV_OVER_LTM_REVENUE" localSheetId="17" hidden="1">"c1227"</definedName>
    <definedName name="IQ_EV_OVER_LTM_REVENUE" hidden="1">"c1429"</definedName>
    <definedName name="IQ_EVAL_DATE" hidden="1">"c2180"</definedName>
    <definedName name="IQ_EXCHANGE" hidden="1">"c405"</definedName>
    <definedName name="IQ_EXCISE_TAXES_EXCL_SALES">"c5515"</definedName>
    <definedName name="IQ_EXCISE_TAXES_INCL_SALES">"c5514"</definedName>
    <definedName name="IQ_EXERCISE_PRICE" localSheetId="17" hidden="1">"c406"</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"019802400"</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localSheetId="17" hidden="1">"c413"</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"c4435"</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HARE_ACT_OR_EST">"c4446"</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TDDEV_EST" hidden="1">"c422"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"c5527"</definedName>
    <definedName name="IQ_FINANCING_CASH" localSheetId="17" hidden="1">"c893"</definedName>
    <definedName name="IQ_FINANCING_CASH" hidden="1">"c1405"</definedName>
    <definedName name="IQ_FINANCING_CASH_SUPPL" localSheetId="17" hidden="1">"c899"</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localSheetId="17" hidden="1">"c451"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localSheetId="17" hidden="1">"c452"</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"c4069"</definedName>
    <definedName name="IQ_GEO_SEG_ASSETS_ABS">"c4091"</definedName>
    <definedName name="IQ_GEO_SEG_ASSETS_TOTAL">"c4123"</definedName>
    <definedName name="IQ_GEO_SEG_CAPEX">"c4083"</definedName>
    <definedName name="IQ_GEO_SEG_CAPEX_ABS">"c4105"</definedName>
    <definedName name="IQ_GEO_SEG_CAPEX_TOTAL">"c4127"</definedName>
    <definedName name="IQ_GEO_SEG_DA">"c4082"</definedName>
    <definedName name="IQ_GEO_SEG_DA_ABS">"c4104"</definedName>
    <definedName name="IQ_GEO_SEG_DA_TOTAL">"c4126"</definedName>
    <definedName name="IQ_GEO_SEG_EARNINGS_OP">"c4073"</definedName>
    <definedName name="IQ_GEO_SEG_EARNINGS_OP_ABS">"c4095"</definedName>
    <definedName name="IQ_GEO_SEG_EARNINGS_OP_TOTAL">"c4119"</definedName>
    <definedName name="IQ_GEO_SEG_EBT">"c4072"</definedName>
    <definedName name="IQ_GEO_SEG_EBT_ABS">"c4094"</definedName>
    <definedName name="IQ_GEO_SEG_EBT_TOTAL">"c4121"</definedName>
    <definedName name="IQ_GEO_SEG_GP">"c4070"</definedName>
    <definedName name="IQ_GEO_SEG_GP_ABS">"c4092"</definedName>
    <definedName name="IQ_GEO_SEG_GP_TOTAL">"c4120"</definedName>
    <definedName name="IQ_GEO_SEG_INC_TAX">"c4081"</definedName>
    <definedName name="IQ_GEO_SEG_INC_TAX_ABS">"c4103"</definedName>
    <definedName name="IQ_GEO_SEG_INC_TAX_TOTAL">"c4125"</definedName>
    <definedName name="IQ_GEO_SEG_INTEREST_EXP">"c4080"</definedName>
    <definedName name="IQ_GEO_SEG_INTEREST_EXP_ABS">"c4102"</definedName>
    <definedName name="IQ_GEO_SEG_INTEREST_EXP_TOTAL">"c4124"</definedName>
    <definedName name="IQ_GEO_SEG_NAME">"c5484"</definedName>
    <definedName name="IQ_GEO_SEG_NAME_ABS">"c5485"</definedName>
    <definedName name="IQ_GEO_SEG_NI">"c4071"</definedName>
    <definedName name="IQ_GEO_SEG_NI_ABS">"c4093"</definedName>
    <definedName name="IQ_GEO_SEG_NI_TOTAL">"c4122"</definedName>
    <definedName name="IQ_GEO_SEG_OPER_INC">"c4075"</definedName>
    <definedName name="IQ_GEO_SEG_OPER_INC_ABS">"c4097"</definedName>
    <definedName name="IQ_GEO_SEG_OPER_INC_TOTAL">"c4118"</definedName>
    <definedName name="IQ_GEO_SEG_REV">"c4074"</definedName>
    <definedName name="IQ_GEO_SEG_REV_ABS">"c4096"</definedName>
    <definedName name="IQ_GEO_SEG_REV_TOTAL">"c4117"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localSheetId="17" hidden="1">"c530"</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localSheetId="17" hidden="1">"c192"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localSheetId="17" hidden="1">"c511"</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_TARGET_PRICE_REUT">"c5317"</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localSheetId="17" hidden="1">"c789"</definedName>
    <definedName name="IQ_INC_AVAIL_EXCL" hidden="1">"c1395"</definedName>
    <definedName name="IQ_INC_AVAIL_INCL" localSheetId="17" hidden="1">"c791"</definedName>
    <definedName name="IQ_INC_AVAIL_INCL" hidden="1">"c1396"</definedName>
    <definedName name="IQ_INC_BEFORE_TAX" localSheetId="17" hidden="1">"c386"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localSheetId="17" hidden="1">"c907"</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localSheetId="17" hidden="1">"c618"</definedName>
    <definedName name="IQ_INTEREST_EXP_NON" hidden="1">"c1383"</definedName>
    <definedName name="IQ_INTEREST_EXP_SUPPL" hidden="1">"c1460"</definedName>
    <definedName name="IQ_INTEREST_INC" localSheetId="17" hidden="1">"c769"</definedName>
    <definedName name="IQ_INTEREST_INC" hidden="1">"c1393"</definedName>
    <definedName name="IQ_INTEREST_INC_NON" localSheetId="17" hidden="1">"c619"</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"c5511"</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localSheetId="17" hidden="1">"c751"</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localSheetId="17" hidden="1">"c656"</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localSheetId="17" hidden="1">"c674"</definedName>
    <definedName name="IQ_LONG_TERM_DEBT" hidden="1">"c1387"</definedName>
    <definedName name="IQ_LONG_TERM_DEBT_OVER_TOTAL_CAP" localSheetId="17" hidden="1">"c677"</definedName>
    <definedName name="IQ_LONG_TERM_DEBT_OVER_TOTAL_CAP" hidden="1">"c1388"</definedName>
    <definedName name="IQ_LONG_TERM_GROWTH" hidden="1">"c671"</definedName>
    <definedName name="IQ_LONG_TERM_INV" localSheetId="17" hidden="1">"c697"</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localSheetId="17" hidden="1">"c1304"</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"c4048"</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localSheetId="17" hidden="1">41721.7713657407</definedName>
    <definedName name="IQ_NAMES_REVISION_DATE_" hidden="1">42691.5412615741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HIGH_EST" hidden="1">"c3518"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MEDIAN_EST" hidden="1">"c3520"</definedName>
    <definedName name="IQ_NET_DEBT_NUM_EST" hidden="1">"c3515"</definedName>
    <definedName name="IQ_NET_DEBT_STDDEV_EST" hidden="1">"c3516"</definedName>
    <definedName name="IQ_NET_EARNED" hidden="1">"c2734"</definedName>
    <definedName name="IQ_NET_INC" localSheetId="17" hidden="1">"c781"</definedName>
    <definedName name="IQ_NET_INC" hidden="1">"c1394"</definedName>
    <definedName name="IQ_NET_INC_BEFORE" localSheetId="17" hidden="1">"c344"</definedName>
    <definedName name="IQ_NET_INC_BEFORE" hidden="1">"c1368"</definedName>
    <definedName name="IQ_NET_INC_CF" localSheetId="17" hidden="1">"c793"</definedName>
    <definedName name="IQ_NET_INC_CF" hidden="1">"c1397"</definedName>
    <definedName name="IQ_NET_INC_MARGIN" localSheetId="17" hidden="1">"c794"</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localSheetId="17" hidden="1">"c764"</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"c4474"</definedName>
    <definedName name="IQ_NI_SBC_GW_ACT_OR_EST">"c4478"</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localSheetId="17" hidden="1">"c797"</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localSheetId="17" hidden="1">"c801"</definedName>
    <definedName name="IQ_NON_INTEREST_EXP" hidden="1">"c1400"</definedName>
    <definedName name="IQ_NON_INTEREST_INC" localSheetId="17" hidden="1">"c802"</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localSheetId="17" hidden="1">"c1176"</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localSheetId="17" hidden="1">"c362"</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"c5563"</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localSheetId="17" hidden="1">"c868"</definedName>
    <definedName name="IQ_OTHER_CURRENT_ASSETS" hidden="1">"c1403"</definedName>
    <definedName name="IQ_OTHER_CURRENT_LIAB" localSheetId="17" hidden="1">"c877"</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localSheetId="17" hidden="1">"c916"</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localSheetId="17" hidden="1">"c946"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localSheetId="17" hidden="1">"c959"</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localSheetId="17" hidden="1">"c1010"</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localSheetId="17" hidden="1">"c1022"</definedName>
    <definedName name="IQ_OUTSTANDING_BS_DATE" hidden="1">"c2128"</definedName>
    <definedName name="IQ_OUTSTANDING_FILING_DATE" localSheetId="17" hidden="1">"c1023"</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localSheetId="17" hidden="1">"c8"</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"c4049"</definedName>
    <definedName name="IQ_PE_NORMALIZED" hidden="1">"c2207"</definedName>
    <definedName name="IQ_PE_RATIO" hidden="1">"c1610"</definedName>
    <definedName name="IQ_PEG_FWD" hidden="1">"c1863"</definedName>
    <definedName name="IQ_PEG_FWD_REUT">"c4052"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localSheetId="17" hidden="1">"c1034"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localSheetId="17" hidden="1">"c1052"</definedName>
    <definedName name="IQ_PREF_STOCK" hidden="1">"c1416"</definedName>
    <definedName name="IQ_PREF_TOT" localSheetId="17" hidden="1">"c1044"</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localSheetId="17"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localSheetId="17" hidden="1">"c1026"</definedName>
    <definedName name="IQ_PRICE_OVER_BVPS" hidden="1">"c1412"</definedName>
    <definedName name="IQ_PRICE_OVER_LTM_EPS" localSheetId="17" hidden="1">"c1029"</definedName>
    <definedName name="IQ_PRICE_OVER_LTM_EPS" hidden="1">"c1413"</definedName>
    <definedName name="IQ_PRICE_TARGET" hidden="1">"c82"</definedName>
    <definedName name="IQ_PRICE_TARGET_REUT">"c3631"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localSheetId="17" hidden="1">"c795"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localSheetId="17" hidden="1">"c518"</definedName>
    <definedName name="IQ_PROPERTY_GROSS" hidden="1">"c1379"</definedName>
    <definedName name="IQ_PROPERTY_MGMT_FEE" hidden="1">"c1074"</definedName>
    <definedName name="IQ_PROPERTY_NET" localSheetId="17" hidden="1">"c829"</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"c4507"</definedName>
    <definedName name="IQ_RECURRING_PROFIT_SHARE_ACT_OR_EST">"c4508"</definedName>
    <definedName name="IQ_REDEEM_PREF_STOCK" localSheetId="17" hidden="1">"c1059"</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localSheetId="17" hidden="1">"c1090"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localSheetId="17" hidden="1">"c1092"</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HIGH_EST" hidden="1">"c3530"</definedName>
    <definedName name="IQ_RETURN_ASSETS_LOW_EST" hidden="1">"c3531"</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HIGH_EST" hidden="1">"c3536"</definedName>
    <definedName name="IQ_RETURN_EQUITY_LOW_EST" hidden="1">"c3537"</definedName>
    <definedName name="IQ_RETURN_EQUITY_MEDIAN_EST" hidden="1">"c3538"</definedName>
    <definedName name="IQ_RETURN_EQUITY_NUM_EST" hidden="1">"c3533"</definedName>
    <definedName name="IQ_RETURN_EQUITY_STDDEV_EST" hidden="1">"c3534"</definedName>
    <definedName name="IQ_RETURN_INVESTMENT" localSheetId="17" hidden="1">"c1117"</definedName>
    <definedName name="IQ_RETURN_INVESTMENT" hidden="1">"c1421"</definedName>
    <definedName name="IQ_REV" hidden="1">"c1122"</definedName>
    <definedName name="IQ_REV_BEFORE_LL" hidden="1">"c1123"</definedName>
    <definedName name="IQ_REV_STDDEV_EST" hidden="1">"c1124"</definedName>
    <definedName name="IQ_REV_STDDEV_EST_REUT">"c3639"</definedName>
    <definedName name="IQ_REV_UTI" hidden="1">"c1125"</definedName>
    <definedName name="IQ_REVALUATION_GAINS_FDIC" hidden="1">"c6428"</definedName>
    <definedName name="IQ_REVALUATION_LOSSES_FDIC" hidden="1">"c6429"</definedName>
    <definedName name="IQ_REVENUE" localSheetId="17" hidden="1">"c1122"</definedName>
    <definedName name="IQ_REVENUE" hidden="1">"c1422"</definedName>
    <definedName name="IQ_REVENUE_ACT_OR_EST" hidden="1">"c2214"</definedName>
    <definedName name="IQ_REVENUE_EST" hidden="1">"c1126"</definedName>
    <definedName name="IQ_REVENUE_EST_REUT">"c3634"</definedName>
    <definedName name="IQ_REVENUE_HIGH_EST" hidden="1">"c1127"</definedName>
    <definedName name="IQ_REVENUE_HIGH_EST_REUT">"c3636"</definedName>
    <definedName name="IQ_REVENUE_LOW_EST" hidden="1">"c1128"</definedName>
    <definedName name="IQ_REVENUE_LOW_EST_REUT">"c3637"</definedName>
    <definedName name="IQ_REVENUE_MEDIAN_EST" hidden="1">"c1662"</definedName>
    <definedName name="IQ_REVENUE_MEDIAN_EST_REUT">"c3635"</definedName>
    <definedName name="IQ_REVENUE_NUM_EST" hidden="1">"c1129"</definedName>
    <definedName name="IQ_REVENUE_NUM_EST_REUT">"c3638"</definedName>
    <definedName name="IQ_REVISION_DATE_" localSheetId="17" hidden="1">39036.4994560185</definedName>
    <definedName name="IQ_REVISION_DATE_" hidden="1">38961.402025463</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localSheetId="17" hidden="1">"c83"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localSheetId="17" hidden="1">"c1197"</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"c5319"</definedName>
    <definedName name="IQ_TARGET_PRICE_STDDEV" hidden="1">"c1654"</definedName>
    <definedName name="IQ_TARGET_PRICE_STDDEV_REUT">"c5320"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localSheetId="17" hidden="1">"c1266"</definedName>
    <definedName name="IQ_TOTAL_CASH_DIVID" hidden="1">"c1455"</definedName>
    <definedName name="IQ_TOTAL_CASH_FINAN" localSheetId="17" hidden="1">"c119"</definedName>
    <definedName name="IQ_TOTAL_CASH_FINAN" hidden="1">"c1352"</definedName>
    <definedName name="IQ_TOTAL_CASH_INVEST" localSheetId="17" hidden="1">"c121"</definedName>
    <definedName name="IQ_TOTAL_CASH_INVEST" hidden="1">"c1353"</definedName>
    <definedName name="IQ_TOTAL_CASH_OPER" localSheetId="17" hidden="1">"c122"</definedName>
    <definedName name="IQ_TOTAL_CASH_OPER" hidden="1">"c1354"</definedName>
    <definedName name="IQ_TOTAL_CHARGE_OFFS_FDIC" hidden="1">"c6603"</definedName>
    <definedName name="IQ_TOTAL_CHURN" hidden="1">"c2122"</definedName>
    <definedName name="IQ_TOTAL_CL" hidden="1">"c1245"</definedName>
    <definedName name="IQ_TOTAL_COMMON" localSheetId="17" hidden="1">"c1022"</definedName>
    <definedName name="IQ_TOTAL_COMMON" hidden="1">"c1411"</definedName>
    <definedName name="IQ_TOTAL_COMMON_EQUITY" hidden="1">"c1246"</definedName>
    <definedName name="IQ_TOTAL_CURRENT_ASSETS" localSheetId="17" hidden="1">"c1243"</definedName>
    <definedName name="IQ_TOTAL_CURRENT_ASSETS" hidden="1">"c1430"</definedName>
    <definedName name="IQ_TOTAL_CURRENT_LIAB" localSheetId="17" hidden="1">"c1245"</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localSheetId="17" hidden="1">"c1249"</definedName>
    <definedName name="IQ_TOTAL_DEBT_OVER_EBITDA" hidden="1">"c1433"</definedName>
    <definedName name="IQ_TOTAL_DEBT_OVER_TOTAL_BV" localSheetId="17" hidden="1">"c1250"</definedName>
    <definedName name="IQ_TOTAL_DEBT_OVER_TOTAL_BV" hidden="1">"c1434"</definedName>
    <definedName name="IQ_TOTAL_DEBT_OVER_TOTAL_CAP" localSheetId="17" hidden="1">"c1248"</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localSheetId="17" hidden="1">"c1522"</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localSheetId="17" hidden="1">"c591"</definedName>
    <definedName name="IQ_TOTAL_INTEREST_EXP" hidden="1">"c1382"</definedName>
    <definedName name="IQ_TOTAL_INVENTORY" localSheetId="17" hidden="1">"c622"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localSheetId="17" hidden="1">"c1279"</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localSheetId="17" hidden="1">"c1294"</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localSheetId="17" hidden="1">"c1177"</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"c5516"</definedName>
    <definedName name="IQ_TOTAL_UNUSUAL_BR">"c5517"</definedName>
    <definedName name="IQ_TOTAL_UNUSUAL_FIN">"c5518"</definedName>
    <definedName name="IQ_TOTAL_UNUSUAL_INS">"c5519"</definedName>
    <definedName name="IQ_TOTAL_UNUSUAL_REIT">"c5520"</definedName>
    <definedName name="IQ_TOTAL_UNUSUAL_UTI">"c5521"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localSheetId="17" hidden="1">"c40"</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localSheetId="17" hidden="1">"c1311"</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RD40" hidden="1">"$D$41:$D$2543"</definedName>
    <definedName name="IQRD41" hidden="1">"$D$42:$D$2544"</definedName>
    <definedName name="IQRE41" hidden="1">"$E$42:$E$2544"</definedName>
    <definedName name="is_SummarySheet">TRUE</definedName>
    <definedName name="JBNAM">"QPRTJOB"</definedName>
    <definedName name="JBNMB">"200343"</definedName>
    <definedName name="ji" localSheetId="18" hidden="1">{"'Highlights'!$A$1:$M$123"}</definedName>
    <definedName name="ji" localSheetId="17" hidden="1">{"'Highlights'!$A$1:$M$123"}</definedName>
    <definedName name="ji" hidden="1">{"'Highlights'!$A$1:$M$123"}</definedName>
    <definedName name="jkl" localSheetId="18">HLOOKUP(ProjectYear,tblEnergyRate,swEnergytbl+1)</definedName>
    <definedName name="jkl" localSheetId="17">HLOOKUP(ProjectYear,tblEnergyRate,swEnergytbl+1)</definedName>
    <definedName name="jkl">HLOOKUP(ProjectYear,tblEnergyRate,swEnergytbl+1)</definedName>
    <definedName name="K2_WBEVMODE" hidden="1">-1</definedName>
    <definedName name="kajfdhkajdshflakdshflkdajhfkjahds" localSheetId="18" hidden="1">{0;5;10;5;10;13;13;13;8;5;5;10;14;13;13;13;13;5;10;14;13;5;10;1;2;24}</definedName>
    <definedName name="kajfdhkajdshflakdshflkdajhfkjahds" hidden="1">{0;5;10;5;10;13;13;13;8;5;5;10;14;13;13;13;13;5;10;14;13;5;10;1;2;24}</definedName>
    <definedName name="ksadfjlaksjfd11" localSheetId="18" hidden="1">{0;TRUE;0;0;0;0;0;0;0;0;0;0;0;0;0;0;0;0;0;0;0;0;0;0;0;0}</definedName>
    <definedName name="ksadfjlaksjfd11" hidden="1">{0;TRUE;0;0;0;0;0;0;0;0;0;0;0;0;0;0;0;0;0;0;0;0;0;0;0;0}</definedName>
    <definedName name="left">OFFSET(!A1,0,-1)</definedName>
    <definedName name="Library" hidden="1">"a1"</definedName>
    <definedName name="limcount" localSheetId="17">2</definedName>
    <definedName name="limcount" hidden="1">1</definedName>
    <definedName name="List_CND">7</definedName>
    <definedName name="List_CND_Col">7</definedName>
    <definedName name="List_Col">1</definedName>
    <definedName name="List_USD">6</definedName>
    <definedName name="List_USD_Col">6</definedName>
    <definedName name="ListOffset" hidden="1">1</definedName>
    <definedName name="LiveCost">4</definedName>
    <definedName name="LiveList">5</definedName>
    <definedName name="me">"Button 5"</definedName>
    <definedName name="Mike">"4L3FS87B47OOC5ZB5QNNABIG6"</definedName>
    <definedName name="million">1000000</definedName>
    <definedName name="MON">"09"</definedName>
    <definedName name="MonitorCol">1</definedName>
    <definedName name="MonitorRow">1</definedName>
    <definedName name="MSRP_CND">9</definedName>
    <definedName name="MSRP_CND_Col">9</definedName>
    <definedName name="MSRP_USD">8</definedName>
    <definedName name="MSRP_USD_Col">8</definedName>
    <definedName name="NEA">"Bellingham"</definedName>
    <definedName name="New" localSheetId="17">HLOOKUP(ProjectYear,tblCapRate,swCaptbl+1)</definedName>
    <definedName name="newCapacityRate" localSheetId="18">HLOOKUP(ProjectYear,tblCapRate,swCaptbl+1)</definedName>
    <definedName name="newCapacityRate" localSheetId="17">HLOOKUP(ProjectYear,tblCapRate,swCaptbl+1)</definedName>
    <definedName name="newCapacityRate">HLOOKUP(ProjectYear,tblCapRate,swCaptbl+1)</definedName>
    <definedName name="newEnergy" localSheetId="18">HLOOKUP(ProjectYear,tblEnergyRate,swEnergytbl+1)</definedName>
    <definedName name="newEnergy" localSheetId="17">HLOOKUP(ProjectYear,tblEnergyRate,swEnergytbl+1)</definedName>
    <definedName name="newEnergy">HLOOKUP(ProjectYear,tblEnergyRate,swEnergytbl+1)</definedName>
    <definedName name="NJEA">"Sayreville"</definedName>
    <definedName name="NvsAnswerCol" localSheetId="17">"'[TXUBS Direct Projection 2007 Plan w_Jul06 Proj 091206 11am.xls]Data'!$A$8:$A$32462"</definedName>
    <definedName name="NvsAnswerCol">"'[RP Consolidating IS YTD - 2017 - 9.xlsx]BU List'!$A$4:$A$19"</definedName>
    <definedName name="NvsASD" localSheetId="17">"V2018-05-31"</definedName>
    <definedName name="NvsASD">"V2016-12-31"</definedName>
    <definedName name="NvsAutoDrillOk">"VN"</definedName>
    <definedName name="NvsElapsedTime" localSheetId="17">0</definedName>
    <definedName name="NvsElapsedTime">0.0000462962925666943</definedName>
    <definedName name="NvsEndTime" localSheetId="17">36397.3992255787</definedName>
    <definedName name="NvsEndTime">42816.4573842593</definedName>
    <definedName name="NvsInstLang">"VENG"</definedName>
    <definedName name="NvsInstSpec" localSheetId="17">"%,FBUSINESS_UNIT,VGL53"</definedName>
    <definedName name="NvsInstSpec">"%,FBUSINESS_UNIT,V41000"</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 localSheetId="17">"V"</definedName>
    <definedName name="NvsPanelBusUnit">"V10000"</definedName>
    <definedName name="NvsPanelEffdt" localSheetId="17">"V2008-05-01"</definedName>
    <definedName name="NvsPanelEffdt">"V2016-02-06"</definedName>
    <definedName name="NvsPanelSetid" localSheetId="17">"VNONRG"</definedName>
    <definedName name="NvsPanelSetid">"VSHARE"</definedName>
    <definedName name="NvsReqBU" localSheetId="17">"VGL9"</definedName>
    <definedName name="NvsReqBU">"V10000"</definedName>
    <definedName name="NvsReqBUOnly">"VN"</definedName>
    <definedName name="NvsStyleNme">"BBStyle.xls"</definedName>
    <definedName name="NvsTransLed">"VN"</definedName>
    <definedName name="NvsTreeASD" localSheetId="17">"V2018-05-31"</definedName>
    <definedName name="NvsTreeASD">"V2016-12-31"</definedName>
    <definedName name="NvsValTbl.ACCOUNT">"GL_ACCOUNT_TBL"</definedName>
    <definedName name="NvsValTbl.AFFILIATE" localSheetId="17">"BUS_UNIT_TBL_FS"</definedName>
    <definedName name="NvsValTbl.AFFILIATE">"AFFILIATE_VW"</definedName>
    <definedName name="NvsValTbl.BUSINESS_UNIT">"BUS_UNIT_TBL_FS"</definedName>
    <definedName name="NvsValTbl.CURRENCY_CD">"CURRENCY_CD_TBL"</definedName>
    <definedName name="NvsValTbl.DEPTID" localSheetId="17">"DEPARTMENT_TBL"</definedName>
    <definedName name="NvsValTbl.DEPTID">"DEPT_TBL"</definedName>
    <definedName name="NvsValTbl.E_LEGAL_ENTITY">"E_LE_TBL"</definedName>
    <definedName name="NvsValTbl.TU_LOCATION">"TU_LOC_TBL"</definedName>
    <definedName name="Offpeak">8</definedName>
    <definedName name="one">1</definedName>
    <definedName name="OQLIB">"QUSRSYS"</definedName>
    <definedName name="OQNAM">"STAN"</definedName>
    <definedName name="PCDAT">"10/5/2004"</definedName>
    <definedName name="PCDT2">"20041005"</definedName>
    <definedName name="PCTIM">"3:57:36 PM"</definedName>
    <definedName name="Peak" localSheetId="17">16</definedName>
    <definedName name="pig_dog\" localSheetId="18" hidden="1">{"EXCELHLP.HLP!1802";5;10;5;10;13;13;13;8;5;5;10;14;13;13;13;13;5;10;14;13;5;10;1;2;24}</definedName>
    <definedName name="pig_dog\" localSheetId="17" hidden="1">{"EXCELHLP.HLP!1802";5;10;5;10;13;13;13;8;5;5;10;14;13;13;13;13;5;10;14;13;5;10;1;2;24}</definedName>
    <definedName name="pig_dog\" hidden="1">{"EXCELHLP.HLP!1802";5;10;5;10;13;13;13;8;5;5;10;14;13;13;13;13;5;10;14;13;5;10;1;2;24}</definedName>
    <definedName name="Plant_Name">"SEGS VIII"</definedName>
    <definedName name="ppp" localSheetId="17">HLOOKUP(ProjectYear,tblEnergyRate,swEnergytbl+1)</definedName>
    <definedName name="_xlnm.Print_Area" localSheetId="16">'10-Dep Rates'!$A$1:$C$40</definedName>
    <definedName name="_xlnm.Print_Area" localSheetId="20">'11a-Wholesale Distribution '!$A$1:$O$211</definedName>
    <definedName name="_xlnm.Print_Area" localSheetId="19">'11-Wholesale Distribution'!$A$1:$M$99</definedName>
    <definedName name="_xlnm.Print_Area" localSheetId="1">'1-Project Rev Req'!$A$1:$S$112</definedName>
    <definedName name="_xlnm.Print_Area" localSheetId="2">'2-Incentive ROE'!$A$1:$K$49</definedName>
    <definedName name="_xlnm.Print_Area" localSheetId="3">'3-Project True-up'!$A$1:$K$64</definedName>
    <definedName name="_xlnm.Print_Area" localSheetId="4">'4- Rate Base'!$A$1:$J$72</definedName>
    <definedName name="_xlnm.Print_Area" localSheetId="5">'4a-ADIT Projection'!$A$1:$J$36</definedName>
    <definedName name="_xlnm.Print_Area" localSheetId="6">'4b-ADIT Projection Proration'!$A$1:$L$61</definedName>
    <definedName name="_xlnm.Print_Area" localSheetId="7">'4c- ADIT BOY'!$A$1:$H$84</definedName>
    <definedName name="_xlnm.Print_Area" localSheetId="8">'4d- ADIT EOY'!$A$1:$H$84</definedName>
    <definedName name="_xlnm.Print_Area" localSheetId="9">'4e-ADIT True-up'!$A$1:$J$36</definedName>
    <definedName name="_xlnm.Print_Area" localSheetId="10">'4f-ADIT True-up Proration'!$A$1:$AF$61</definedName>
    <definedName name="_xlnm.Print_Area" localSheetId="11">'5-P3 Support'!$A$1:$M$93</definedName>
    <definedName name="_xlnm.Print_Area" localSheetId="13">'7 - PBOP'!$A$1:$I$21</definedName>
    <definedName name="_xlnm.Print_Area" localSheetId="14">'8-Construction Loan'!$A$1:$J$104</definedName>
    <definedName name="_xlnm.Print_Area" localSheetId="0">'Attachment H'!$A$1:$K$280</definedName>
    <definedName name="_xlnm.Print_Area" localSheetId="17">'GLHP Taxes'!$A$1:$T$131</definedName>
    <definedName name="_xlnm.Print_Titles" localSheetId="5">'4a-ADIT Projection'!$5:$6</definedName>
    <definedName name="_xlnm.Print_Titles" localSheetId="6">'4b-ADIT Projection Proration'!$6:$7</definedName>
    <definedName name="_xlnm.Print_Titles" localSheetId="9">'4e-ADIT True-up'!$5:$6</definedName>
    <definedName name="_xlnm.Print_Titles" localSheetId="10">'4f-ADIT True-up Proration'!$6:$7</definedName>
    <definedName name="PRIOR">" 5"</definedName>
    <definedName name="prys" localSheetId="18" hidden="1">table_inspection</definedName>
    <definedName name="prys" localSheetId="17" hidden="1">table_inspection</definedName>
    <definedName name="prys" hidden="1">table_inspection</definedName>
    <definedName name="Qtr">91.25</definedName>
    <definedName name="qweoiruqoewiruqpowieurq" localSheetId="18" hidden="1">{0;5;10;5;10;13;13;13;8;5;5;10;14;13;13;13;13;5;10;14;13;5;10;1;2;24}</definedName>
    <definedName name="qweoiruqoewiruqpowieurq" hidden="1">{0;5;10;5;10;13;13;13;8;5;5;10;14;13;13;13;13;5;10;14;13;5;10;1;2;24}</definedName>
    <definedName name="Rate">"1,2,3"</definedName>
    <definedName name="RDVers">"2.10a"</definedName>
    <definedName name="ReportGroup" hidden="1">0</definedName>
    <definedName name="right">OFFSET(!A1,0,1)</definedName>
    <definedName name="RiskAfterRecalcMacro">"Maximize_Cap_Structure"</definedName>
    <definedName name="RiskCollectDistributionSamples">2</definedName>
    <definedName name="RiskDet">TRUE</definedName>
    <definedName name="RiskFixedSeed">1</definedName>
    <definedName name="RiskHasSettings">TRUE</definedName>
    <definedName name="RiskMinimizeOnStart">FALSE</definedName>
    <definedName name="RiskMonitorConvergence">TRUE</definedName>
    <definedName name="RiskNumIterations">1000</definedName>
    <definedName name="RiskNumSimulations">7</definedName>
    <definedName name="RiskPauseOnError">FALSE</definedName>
    <definedName name="RiskRealTimeResults">TRUE</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StatFunctionsUpdateFreq">10</definedName>
    <definedName name="RiskUpdateDisplay">TRUE</definedName>
    <definedName name="RiskUpdateStatFunctions">TRUE</definedName>
    <definedName name="RiskUseDifferentSeedForEachSim">FALSE</definedName>
    <definedName name="RiskUseFixedSeed">FALSE</definedName>
    <definedName name="rmcAccount">96050</definedName>
    <definedName name="rmcApplication">"MOTO"</definedName>
    <definedName name="rmcCategory">"PFCST"</definedName>
    <definedName name="rmcFrequency">"MON"</definedName>
    <definedName name="rmcName">"R0P014"</definedName>
    <definedName name="RMCOptions">"*000000000000000"</definedName>
    <definedName name="rmcPeriod">9609</definedName>
    <definedName name="RoHS_CND_Col">15</definedName>
    <definedName name="RoHS_PEC_Col">12</definedName>
    <definedName name="RoHS_USD_Col">14</definedName>
    <definedName name="Sales2" localSheetId="18" hidden="1">{"'Highlights'!$A$1:$M$123"}</definedName>
    <definedName name="Sales2" localSheetId="17" hidden="1">{"'Highlights'!$A$1:$M$123"}</definedName>
    <definedName name="Sales2" hidden="1">{"'Highlights'!$A$1:$M$123"}</definedName>
    <definedName name="SalesRegions" localSheetId="18">{"S. California";"Pacific NW";"SouthWest";"Central";"SouthEast";"NorthEast"}</definedName>
    <definedName name="SalesRegions">{"S. California";"Pacific NW";"SouthWest";"Central";"SouthEast";"NorthEast"}</definedName>
    <definedName name="Sap" hidden="1">"C4WBT4UJSCEM11HLET919CI2T"</definedName>
    <definedName name="SAPBEXdnldView" hidden="1">"4FF00RAMDPJZ88O2AGW5D406R"</definedName>
    <definedName name="SAPBEXhrIndnt">1</definedName>
    <definedName name="SAPBEXrevision" hidden="1">1</definedName>
    <definedName name="SAPBEXsysID" localSheetId="17" hidden="1">"GP1"</definedName>
    <definedName name="SAPBEXsysID" hidden="1">"BWP"</definedName>
    <definedName name="SAPBEXwbID" localSheetId="17" hidden="1">"4MPO1CP18U4TA0W9HO5EI7ADP"</definedName>
    <definedName name="SAPBEXwbID" hidden="1">"3KKFFT2OE3M09AA9DMJ9WPQ2U"</definedName>
    <definedName name="SAPBEXwbID1" hidden="1">"4GFCYJPWBXEXEDJLJBH1DOQ0Z"</definedName>
    <definedName name="SAPsysID" hidden="1">"708C5W7SBKP804JT78WJ0JNKI"</definedName>
    <definedName name="SAPwbID" hidden="1">"ARS"</definedName>
    <definedName name="Sara" localSheetId="18">HLOOKUP(ProjectYear,tblEnergyRate,swEnergytbl+1)</definedName>
    <definedName name="Sara" localSheetId="17">HLOOKUP(ProjectYear,tblEnergyRate,swEnergytbl+1)</definedName>
    <definedName name="Sara">HLOOKUP(ProjectYear,tblEnergyRate,swEnergytbl+1)</definedName>
    <definedName name="sdewer" localSheetId="18">HLOOKUP(ProjectYear,tblCapRate,swCaptbl+1)</definedName>
    <definedName name="sdewer" localSheetId="17">HLOOKUP(ProjectYear,tblCapRate,swCaptbl+1)</definedName>
    <definedName name="sdewer">HLOOKUP(ProjectYear,tblCapRate,swCaptbl+1)</definedName>
    <definedName name="sdf_qww" localSheetId="18" hidden="1">table_demob</definedName>
    <definedName name="sdf_qww" localSheetId="17" hidden="1">table_demob</definedName>
    <definedName name="sdf_qww" hidden="1">table_demob</definedName>
    <definedName name="sencount" hidden="1">1</definedName>
    <definedName name="sfgasd" localSheetId="18" hidden="1">{0,0,0,0;0,0,0,0;0,0,0,0;0,0,0,0;0,0,0,0;0,0,0,0;0,0,2,0;2,3,3,0;FALSE,FALSE,FALSE,FALSE;TRUE,FALSE,TRUE,TRUE;FALSE,FALSE,TRUE,TRUE;FALSE,0,2.78134444564786E-308,4.45015196281921E-308;7.78776275135711E-308,1.33504516457612E-307,2.22507555776164E-307,3.56012157274209E-307}</definedName>
    <definedName name="sfgasd" localSheetId="17" hidden="1">{0,0,0,0;0,0,0,0;0,0,0,0;0,0,0,0;0,0,0,0;0,0,0,0;0,0,2,0;2,3,3,0;FALSE,FALSE,FALSE,FALSE;TRUE,FALSE,TRUE,TRUE;FALSE,FALSE,TRUE,TRUE;FALSE,0,2.78134444564786E-308,4.45015196281921E-308;7.78776275135711E-308,1.33504516457612E-307,2.22507555776164E-307,3.56012157274209E-307}</definedName>
    <definedName name="sfgasd" hidden="1">{0,0,0,0;0,0,0,0;0,0,0,0;0,0,0,0;0,0,0,0;0,0,0,0;0,0,2,0;2,3,3,0;FALSE,FALSE,FALSE,FALSE;TRUE,FALSE,TRUE,TRUE;FALSE,FALSE,TRUE,TRUE;FALSE,0,2.78134444564786E-308,4.45015196281921E-308;7.78776275135711E-308,1.33504516457612E-307,2.22507555776164E-307,3.56012157274209E-307}</definedName>
    <definedName name="solver_adj" localSheetId="14" hidden="1">'8-Construction Loan'!$D$50</definedName>
    <definedName name="solver_cvg" localSheetId="14" hidden="1">0.0001</definedName>
    <definedName name="solver_cvg" hidden="1">0.001</definedName>
    <definedName name="solver_drv" localSheetId="14" hidden="1">1</definedName>
    <definedName name="solver_drv" hidden="1">1</definedName>
    <definedName name="solver_eng" localSheetId="14" hidden="1">1</definedName>
    <definedName name="solver_est" localSheetId="14" hidden="1">1</definedName>
    <definedName name="solver_est" hidden="1">1</definedName>
    <definedName name="solver_itr" localSheetId="14" hidden="1">2147483647</definedName>
    <definedName name="solver_itr" hidden="1">100</definedName>
    <definedName name="solver_lin" localSheetId="17" hidden="1">2</definedName>
    <definedName name="solver_lin" hidden="1">0</definedName>
    <definedName name="solver_mip" localSheetId="14" hidden="1">2147483647</definedName>
    <definedName name="solver_mni" localSheetId="14" hidden="1">30</definedName>
    <definedName name="solver_mrt" localSheetId="14" hidden="1">0.075</definedName>
    <definedName name="solver_msl" localSheetId="14" hidden="1">2</definedName>
    <definedName name="solver_neg" localSheetId="14" hidden="1">1</definedName>
    <definedName name="solver_neg" hidden="1">2</definedName>
    <definedName name="solver_nod" localSheetId="14" hidden="1">2147483647</definedName>
    <definedName name="solver_num" localSheetId="14" hidden="1">0</definedName>
    <definedName name="solver_num" localSheetId="17" hidden="1">1</definedName>
    <definedName name="solver_num" hidden="1">2</definedName>
    <definedName name="solver_nwt" localSheetId="14" hidden="1">1</definedName>
    <definedName name="solver_nwt" hidden="1">1</definedName>
    <definedName name="solver_opt" localSheetId="14" hidden="1">'8-Construction Loan'!$F$12</definedName>
    <definedName name="solver_pre" localSheetId="14" hidden="1">0.000001</definedName>
    <definedName name="solver_pre" hidden="1">0.000001</definedName>
    <definedName name="solver_rbv" localSheetId="14" hidden="1">1</definedName>
    <definedName name="solver_rel1" localSheetId="17" hidden="1">2</definedName>
    <definedName name="solver_rel1" hidden="1">1</definedName>
    <definedName name="solver_rel2" hidden="1">3</definedName>
    <definedName name="solver_rhs1" localSheetId="17" hidden="1">17</definedName>
    <definedName name="solver_rhs1" hidden="1">50</definedName>
    <definedName name="solver_rhs2" hidden="1">0</definedName>
    <definedName name="solver_rlx" localSheetId="14" hidden="1">2</definedName>
    <definedName name="solver_rsd" localSheetId="14" hidden="1">0</definedName>
    <definedName name="solver_scl" localSheetId="14" hidden="1">1</definedName>
    <definedName name="solver_scl" localSheetId="17" hidden="1">2</definedName>
    <definedName name="solver_scl" hidden="1">0</definedName>
    <definedName name="solver_sho" localSheetId="14" hidden="1">2</definedName>
    <definedName name="solver_sho" localSheetId="17" hidden="1">2</definedName>
    <definedName name="solver_sho" hidden="1">0</definedName>
    <definedName name="solver_ssz" localSheetId="14" hidden="1">100</definedName>
    <definedName name="solver_tim" localSheetId="14" hidden="1">2147483647</definedName>
    <definedName name="solver_tim" hidden="1">100</definedName>
    <definedName name="solver_tmp" hidden="1">0</definedName>
    <definedName name="solver_tol" localSheetId="14" hidden="1">0.01</definedName>
    <definedName name="solver_tol" hidden="1">0.05</definedName>
    <definedName name="solver_typ" localSheetId="14" hidden="1">3</definedName>
    <definedName name="solver_typ" localSheetId="17" hidden="1">1</definedName>
    <definedName name="solver_typ" hidden="1">3</definedName>
    <definedName name="solver_val" localSheetId="14" hidden="1">200000000</definedName>
    <definedName name="solver_val" localSheetId="17" hidden="1">0</definedName>
    <definedName name="solver_val" hidden="1">10.9</definedName>
    <definedName name="solver_ver" localSheetId="14" hidden="1">3</definedName>
    <definedName name="Spanner_Auto_File">"C:\Documents and Settings\linda\My Documents\Process .x2a"</definedName>
    <definedName name="SPDAT">"10/5/2004"</definedName>
    <definedName name="SPDT2">"20041005"</definedName>
    <definedName name="SPNAM">"TRBALANCE"</definedName>
    <definedName name="SPNMB">"2"</definedName>
    <definedName name="SPTIM">"154033"</definedName>
    <definedName name="SPWS_WBID" localSheetId="17">"B1C80735-5882-4AF2-B0B4-34EDD8A645E0"</definedName>
    <definedName name="SPWS_WBID">"6770D16C-B453-4883-9736-E9CCF832AEC8"</definedName>
    <definedName name="SR_BW_IS_4th_Pass" hidden="1">"47QU7MQZS7AA0RL6O5BR5NO4Z"</definedName>
    <definedName name="TableName">"Dummy"</definedName>
    <definedName name="TAX">0.0825</definedName>
    <definedName name="TaxTV">10%</definedName>
    <definedName name="TaxXL">5%</definedName>
    <definedName name="TEST" localSheetId="17" hidden="1">"0rcAAB|LCAAAAAAABADsvQdgHEmWJSYvbcp7f0r1StfgdKEIgGATJNiQQBDswYjN5pLsHWlHIymrKoHKZVZlXWYWQMztnbz33nvvvffee||997o7nU4n99//P1xmZAFs9s5K2smeIYCqyB8/fnwfPyIe/x7vFmV6mddNUS0/|2h3vPNRmi|n1axYXnz20bo939799KPf4|g3Th5/t6rfTqrq7Zerlpo2Kb23bB69a4rPPpq37erR3btXV1fjq3v"</definedName>
    <definedName name="TestAdd">"Test RefersTo1"</definedName>
    <definedName name="text">"($ in '000s)"</definedName>
    <definedName name="TextRefCopyRangeCount" localSheetId="17">16</definedName>
    <definedName name="TextRefCopyRangeCount" hidden="1">4</definedName>
    <definedName name="thousand">1000</definedName>
    <definedName name="Time" hidden="1">"b1"</definedName>
    <definedName name="tom" localSheetId="17">HLOOKUP(ProjectYear,tblCapRate,swCaptbl+1)</definedName>
    <definedName name="TOTPG">"3"</definedName>
    <definedName name="TPATH">"C:\Program Files\Symtrax\Compleo Explorer 3\Temp\4162f7b5"</definedName>
    <definedName name="treeList" hidden="1">"10000000000000000000000000000000000000000000000000000000000000000000000000000000000000000000000000000000000000000000000000000000000000000000000000000000000000000000000000000000000000000000000000000000"</definedName>
    <definedName name="Typist" hidden="1">"b1"</definedName>
    <definedName name="uaier09w87r0e9w8fa" localSheetId="18" hidden="1">{0,0,0,0;0,0,0,0;0,0,0,0;0,0,0,0}</definedName>
    <definedName name="uaier09w87r0e9w8fa" hidden="1">{0,0,0,0;0,0,0,0;0,0,0,0;0,0,0,0}</definedName>
    <definedName name="USD_Cost_Currency" localSheetId="18">OR(BP_Functionality="CLP: US Currency",BP_Functionality="Direct: US MSRP",BP_Functionality="Partner: US WPP",BP_Functionality="GSA")</definedName>
    <definedName name="USD_Cost_Currency" localSheetId="17">OR(BP_Functionality="CLP: US Currency",BP_Functionality="Direct: US MSRP",BP_Functionality="Partner: US WPP",BP_Functionality="GSA")</definedName>
    <definedName name="USD_Cost_Currency">OR(BP_Functionality="CLP: US Currency",BP_Functionality="Direct: US MSRP",BP_Functionality="Partner: US WPP",BP_Functionality="GSA")</definedName>
    <definedName name="USD_Currency" localSheetId="18">OR(BP_Functionality="CLP: US Currency",BP_Functionality="Direct: US MSRP",BP_Functionality="Partner: US WPP",BP_Functionality="GSA")</definedName>
    <definedName name="USD_Currency" localSheetId="17">OR(BP_Functionality="CLP: US Currency",BP_Functionality="Direct: US MSRP",BP_Functionality="Partner: US WPP",BP_Functionality="GSA")</definedName>
    <definedName name="USD_Currency">OR(BP_Functionality="CLP: US Currency",BP_Functionality="Direct: US MSRP",BP_Functionality="Partner: US WPP",BP_Functionality="GSA")</definedName>
    <definedName name="USDAT">"RA030"</definedName>
    <definedName name="USNAM">"EBENNETT"</definedName>
    <definedName name="valuevx">42.314159</definedName>
    <definedName name="Version" hidden="1">"a1"</definedName>
    <definedName name="vvv" localSheetId="18" hidden="1">{"EXCELHLP.HLP!1802";5;10;5;10;13;13;13;8;5;5;10;14;13;13;13;13;5;10;14;13;5;10;1;2;24}</definedName>
    <definedName name="vvv" hidden="1">{"EXCELHLP.HLP!1802";5;10;5;10;13;13;13;8;5;5;10;14;13;13;13;13;5;10;14;13;5;10;1;2;24}</definedName>
    <definedName name="wd">13.04*5</definedName>
    <definedName name="we" localSheetId="17">13.04*2</definedName>
    <definedName name="Week" localSheetId="18">{0;1;2;3;4;5}</definedName>
    <definedName name="Week">{0;1;2;3;4;5}</definedName>
    <definedName name="Weekday" localSheetId="18">{1,2,3,4,5,6,7}</definedName>
    <definedName name="Weekday">{1,2,3,4,5,6,7}</definedName>
    <definedName name="wks">13.04</definedName>
    <definedName name="WPP_CND">11</definedName>
    <definedName name="WPP_CND_Col">11</definedName>
    <definedName name="WPP_USD">10</definedName>
    <definedName name="WPP_USD_Col">10</definedName>
    <definedName name="wvo" localSheetId="18" hidden="1">{"EXCELHLP.HLP!1802";5;10;5;10;13;13;13;8;5;5;10;14;13;13;13;13;5;10;14;13;5;10;1;2;24}</definedName>
    <definedName name="wvo" localSheetId="17" hidden="1">{"EXCELHLP.HLP!1802";5;10;5;10;13;13;13;8;5;5;10;14;13;13;13;13;5;10;14;13;5;10;1;2;24}</definedName>
    <definedName name="wvo" hidden="1">{"EXCELHLP.HLP!1802";5;10;5;10;13;13;13;8;5;5;10;14;13;13;13;13;5;10;14;13;5;10;1;2;24}</definedName>
    <definedName name="x" localSheetId="17">HLOOKUP(ProjectYear,tblEnergyRate,swEnergytbl+1)</definedName>
    <definedName name="XRefColumnsCount" localSheetId="17">1</definedName>
    <definedName name="XRefColumnsCount" hidden="1">5</definedName>
    <definedName name="XRefCopyRangeCount" localSheetId="17">2</definedName>
    <definedName name="XRefCopyRangeCount" hidden="1">6</definedName>
    <definedName name="XRefPasteRangeCount" localSheetId="17">1</definedName>
    <definedName name="XRefPasteRangeCount" hidden="1">15</definedName>
    <definedName name="yes">1</definedName>
    <definedName name="Z_28948E05_8F34_4F1E_96FB_A80A6A844600_.wvu.PrintArea" localSheetId="5" hidden="1">'4a-ADIT Projection'!$B$1:$G$51</definedName>
    <definedName name="Z_28948E05_8F34_4F1E_96FB_A80A6A844600_.wvu.PrintArea" localSheetId="6" hidden="1">'4b-ADIT Projection Proration'!$B$1:$H$74</definedName>
    <definedName name="Z_28948E05_8F34_4F1E_96FB_A80A6A844600_.wvu.PrintArea" localSheetId="7" hidden="1">'4c- ADIT BOY'!$B$1:$H$106</definedName>
    <definedName name="Z_28948E05_8F34_4F1E_96FB_A80A6A844600_.wvu.PrintArea" localSheetId="8" hidden="1">'4d- ADIT EOY'!$B$1:$H$106</definedName>
    <definedName name="Z_28948E05_8F34_4F1E_96FB_A80A6A844600_.wvu.PrintArea" localSheetId="9" hidden="1">'4e-ADIT True-up'!$B$1:$G$49</definedName>
    <definedName name="Z_28948E05_8F34_4F1E_96FB_A80A6A844600_.wvu.PrintArea" localSheetId="10" hidden="1">'4f-ADIT True-up Proration'!$B$1:$F$74</definedName>
    <definedName name="Z_63011E91_4609_4523_98FE_FD252E915668_.wvu.PrintArea" localSheetId="5" hidden="1">'4a-ADIT Projection'!$B$1:$G$51</definedName>
    <definedName name="Z_63011E91_4609_4523_98FE_FD252E915668_.wvu.PrintArea" localSheetId="6" hidden="1">'4b-ADIT Projection Proration'!$B$1:$H$74</definedName>
    <definedName name="Z_63011E91_4609_4523_98FE_FD252E915668_.wvu.PrintArea" localSheetId="7" hidden="1">'4c- ADIT BOY'!$B$1:$H$106</definedName>
    <definedName name="Z_63011E91_4609_4523_98FE_FD252E915668_.wvu.PrintArea" localSheetId="8" hidden="1">'4d- ADIT EOY'!$B$1:$H$106</definedName>
    <definedName name="Z_63011E91_4609_4523_98FE_FD252E915668_.wvu.PrintArea" localSheetId="9" hidden="1">'4e-ADIT True-up'!$B$1:$G$49</definedName>
    <definedName name="Z_63011E91_4609_4523_98FE_FD252E915668_.wvu.PrintArea" localSheetId="10" hidden="1">'4f-ADIT True-up Proration'!$B$1:$F$74</definedName>
    <definedName name="Z_6928E596_79BD_4CEC_9F0D_07E62D69B2A5_.wvu.PrintArea" localSheetId="5" hidden="1">'4a-ADIT Projection'!$B$1:$G$51</definedName>
    <definedName name="Z_6928E596_79BD_4CEC_9F0D_07E62D69B2A5_.wvu.PrintArea" localSheetId="6" hidden="1">'4b-ADIT Projection Proration'!$B$1:$H$74</definedName>
    <definedName name="Z_6928E596_79BD_4CEC_9F0D_07E62D69B2A5_.wvu.PrintArea" localSheetId="7" hidden="1">'4c- ADIT BOY'!$B$1:$H$106</definedName>
    <definedName name="Z_6928E596_79BD_4CEC_9F0D_07E62D69B2A5_.wvu.PrintArea" localSheetId="8" hidden="1">'4d- ADIT EOY'!$B$1:$H$106</definedName>
    <definedName name="Z_6928E596_79BD_4CEC_9F0D_07E62D69B2A5_.wvu.PrintArea" localSheetId="9" hidden="1">'4e-ADIT True-up'!$B$1:$G$49</definedName>
    <definedName name="Z_6928E596_79BD_4CEC_9F0D_07E62D69B2A5_.wvu.PrintArea" localSheetId="10" hidden="1">'4f-ADIT True-up Proration'!$B$1:$F$74</definedName>
    <definedName name="Z_71B42B22_A376_44B5_B0C1_23FC1AA3DBA2_.wvu.PrintArea" localSheetId="5" hidden="1">'4a-ADIT Projection'!$B$1:$G$51</definedName>
    <definedName name="Z_71B42B22_A376_44B5_B0C1_23FC1AA3DBA2_.wvu.PrintArea" localSheetId="6" hidden="1">'4b-ADIT Projection Proration'!$B$1:$H$74</definedName>
    <definedName name="Z_71B42B22_A376_44B5_B0C1_23FC1AA3DBA2_.wvu.PrintArea" localSheetId="7" hidden="1">'4c- ADIT BOY'!$B$1:$H$106</definedName>
    <definedName name="Z_71B42B22_A376_44B5_B0C1_23FC1AA3DBA2_.wvu.PrintArea" localSheetId="8" hidden="1">'4d- ADIT EOY'!$B$1:$H$106</definedName>
    <definedName name="Z_71B42B22_A376_44B5_B0C1_23FC1AA3DBA2_.wvu.PrintArea" localSheetId="9" hidden="1">'4e-ADIT True-up'!$B$1:$G$49</definedName>
    <definedName name="Z_71B42B22_A376_44B5_B0C1_23FC1AA3DBA2_.wvu.PrintArea" localSheetId="10" hidden="1">'4f-ADIT True-up Proration'!$B$1:$F$74</definedName>
    <definedName name="Z_8FBB4DC9_2D51_4AB9_80D8_F8474B404C29_.wvu.PrintArea" localSheetId="5" hidden="1">'4a-ADIT Projection'!$B$1:$G$51</definedName>
    <definedName name="Z_8FBB4DC9_2D51_4AB9_80D8_F8474B404C29_.wvu.PrintArea" localSheetId="6" hidden="1">'4b-ADIT Projection Proration'!$B$1:$H$74</definedName>
    <definedName name="Z_8FBB4DC9_2D51_4AB9_80D8_F8474B404C29_.wvu.PrintArea" localSheetId="7" hidden="1">'4c- ADIT BOY'!$B$1:$H$106</definedName>
    <definedName name="Z_8FBB4DC9_2D51_4AB9_80D8_F8474B404C29_.wvu.PrintArea" localSheetId="8" hidden="1">'4d- ADIT EOY'!$B$1:$H$106</definedName>
    <definedName name="Z_8FBB4DC9_2D51_4AB9_80D8_F8474B404C29_.wvu.PrintArea" localSheetId="9" hidden="1">'4e-ADIT True-up'!$B$1:$G$49</definedName>
    <definedName name="Z_8FBB4DC9_2D51_4AB9_80D8_F8474B404C29_.wvu.PrintArea" localSheetId="10" hidden="1">'4f-ADIT True-up Proration'!$B$1:$F$74</definedName>
    <definedName name="Z_B647CB7F_C846_4278_B6B1_1EF7F3C004F5_.wvu.PrintArea" localSheetId="5" hidden="1">'4a-ADIT Projection'!$B$1:$G$51</definedName>
    <definedName name="Z_B647CB7F_C846_4278_B6B1_1EF7F3C004F5_.wvu.PrintArea" localSheetId="6" hidden="1">'4b-ADIT Projection Proration'!$B$1:$H$74</definedName>
    <definedName name="Z_B647CB7F_C846_4278_B6B1_1EF7F3C004F5_.wvu.PrintArea" localSheetId="7" hidden="1">'4c- ADIT BOY'!$B$1:$H$106</definedName>
    <definedName name="Z_B647CB7F_C846_4278_B6B1_1EF7F3C004F5_.wvu.PrintArea" localSheetId="8" hidden="1">'4d- ADIT EOY'!$B$1:$H$106</definedName>
    <definedName name="Z_B647CB7F_C846_4278_B6B1_1EF7F3C004F5_.wvu.PrintArea" localSheetId="9" hidden="1">'4e-ADIT True-up'!$B$1:$G$49</definedName>
    <definedName name="Z_B647CB7F_C846_4278_B6B1_1EF7F3C004F5_.wvu.PrintArea" localSheetId="10" hidden="1">'4f-ADIT True-up Proration'!$B$1:$F$74</definedName>
    <definedName name="Z_DC91DEF3_837B_4BB9_A81E_3B78C5914E6C_.wvu.PrintArea" localSheetId="5" hidden="1">'4a-ADIT Projection'!$B$1:$G$51</definedName>
    <definedName name="Z_DC91DEF3_837B_4BB9_A81E_3B78C5914E6C_.wvu.PrintArea" localSheetId="6" hidden="1">'4b-ADIT Projection Proration'!$B$1:$H$74</definedName>
    <definedName name="Z_DC91DEF3_837B_4BB9_A81E_3B78C5914E6C_.wvu.PrintArea" localSheetId="7" hidden="1">'4c- ADIT BOY'!$B$1:$H$106</definedName>
    <definedName name="Z_DC91DEF3_837B_4BB9_A81E_3B78C5914E6C_.wvu.PrintArea" localSheetId="8" hidden="1">'4d- ADIT EOY'!$B$1:$H$106</definedName>
    <definedName name="Z_DC91DEF3_837B_4BB9_A81E_3B78C5914E6C_.wvu.PrintArea" localSheetId="9" hidden="1">'4e-ADIT True-up'!$B$1:$G$49</definedName>
    <definedName name="Z_DC91DEF3_837B_4BB9_A81E_3B78C5914E6C_.wvu.PrintArea" localSheetId="10" hidden="1">'4f-ADIT True-up Proration'!$B$1:$F$74</definedName>
    <definedName name="Z_F04A2B9A_C6FE_4FEB_AD1E_2CF9AC309BE4_.wvu.PrintArea" localSheetId="19" hidden="1">'11-Wholesale Distribution'!$A$1:$Q$100</definedName>
    <definedName name="Z_F04A2B9A_C6FE_4FEB_AD1E_2CF9AC309BE4_.wvu.PrintArea" localSheetId="1" hidden="1">'1-Project Rev Req'!$A$1:$Q$109</definedName>
    <definedName name="Z_F04A2B9A_C6FE_4FEB_AD1E_2CF9AC309BE4_.wvu.PrintArea" localSheetId="3" hidden="1">'3-Project True-up'!$A$1:$L$24</definedName>
    <definedName name="Z_F04A2B9A_C6FE_4FEB_AD1E_2CF9AC309BE4_.wvu.PrintArea" localSheetId="4" hidden="1">'4- Rate Base'!$A$1:$L$49</definedName>
    <definedName name="Z_F04A2B9A_C6FE_4FEB_AD1E_2CF9AC309BE4_.wvu.PrintArea" localSheetId="14" hidden="1">'8-Construction Loan'!$A$2:$J$85</definedName>
    <definedName name="Z_F04A2B9A_C6FE_4FEB_AD1E_2CF9AC309BE4_.wvu.PrintArea" localSheetId="0" hidden="1">'Attachment H'!$A$1:$K$274</definedName>
    <definedName name="Z_FAAD9AAC_1337_43AB_BF1F_CCF9DFCF5B78_.wvu.PrintArea" localSheetId="5" hidden="1">'4a-ADIT Projection'!$B$1:$G$51</definedName>
    <definedName name="Z_FAAD9AAC_1337_43AB_BF1F_CCF9DFCF5B78_.wvu.PrintArea" localSheetId="6" hidden="1">'4b-ADIT Projection Proration'!$B$1:$H$74</definedName>
    <definedName name="Z_FAAD9AAC_1337_43AB_BF1F_CCF9DFCF5B78_.wvu.PrintArea" localSheetId="7" hidden="1">'4c- ADIT BOY'!$B$1:$H$106</definedName>
    <definedName name="Z_FAAD9AAC_1337_43AB_BF1F_CCF9DFCF5B78_.wvu.PrintArea" localSheetId="8" hidden="1">'4d- ADIT EOY'!$B$1:$H$106</definedName>
    <definedName name="Z_FAAD9AAC_1337_43AB_BF1F_CCF9DFCF5B78_.wvu.PrintArea" localSheetId="9" hidden="1">'4e-ADIT True-up'!$B$1:$G$49</definedName>
    <definedName name="Z_FAAD9AAC_1337_43AB_BF1F_CCF9DFCF5B78_.wvu.PrintArea" localSheetId="10" hidden="1">'4f-ADIT True-up Proration'!$B$1:$F$74</definedName>
    <definedName name="zero">0</definedName>
  </definedNames>
  <calcPr calcId="191029" concurrentManualCount="18"/>
  <customWorkbookViews>
    <customWorkbookView name="Allegheny Energy - Personal View" guid="{931DA938-C92D-4DFC-BCC1-9349A5DC9BD4}" mergeInterval="0" personalView="1" maximized="1" windowWidth="1239" windowHeight="637" tabRatio="918" activeSheetId="19" showComments="commIndAndComment"/>
    <customWorkbookView name="Chrystina Steffy - Personal View" guid="{F04A2B9A-C6FE-4FEB-AD1E-2CF9AC309BE4}" mergeInterval="0" personalView="1" maximized="1" windowWidth="1276" windowHeight="799" tabRatio="918"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 i="21" l="1"/>
  <c r="E59" i="21"/>
  <c r="D39" i="21"/>
  <c r="E21" i="21" s="1"/>
  <c r="G39" i="21"/>
  <c r="D42" i="21"/>
  <c r="I3" i="7"/>
  <c r="E15" i="7"/>
  <c r="H15" i="7" s="1"/>
  <c r="P31" i="7" s="1"/>
  <c r="F21" i="21" l="1"/>
  <c r="H21" i="21" s="1"/>
  <c r="I21" i="21"/>
  <c r="E20" i="21"/>
  <c r="E19" i="21"/>
  <c r="E18" i="21"/>
  <c r="E22" i="21"/>
  <c r="E37" i="21"/>
  <c r="E36" i="21"/>
  <c r="E35" i="21"/>
  <c r="F35" i="21" s="1"/>
  <c r="H35" i="21" s="1"/>
  <c r="J35" i="21" s="1"/>
  <c r="K35" i="21" s="1"/>
  <c r="E34" i="21"/>
  <c r="F34" i="21" s="1"/>
  <c r="H34" i="21" s="1"/>
  <c r="E33" i="21"/>
  <c r="F33" i="21" s="1"/>
  <c r="H33" i="21" s="1"/>
  <c r="E32" i="21"/>
  <c r="F32" i="21" s="1"/>
  <c r="H32" i="21" s="1"/>
  <c r="I35" i="21"/>
  <c r="E24" i="21"/>
  <c r="F24" i="21" s="1"/>
  <c r="H24" i="21" s="1"/>
  <c r="E23" i="21"/>
  <c r="F23" i="21" s="1"/>
  <c r="H23" i="21" s="1"/>
  <c r="E31" i="21"/>
  <c r="F31" i="21" s="1"/>
  <c r="H31" i="21" s="1"/>
  <c r="E30" i="21"/>
  <c r="E29" i="21"/>
  <c r="E28" i="21"/>
  <c r="E27" i="21"/>
  <c r="F27" i="21" s="1"/>
  <c r="H27" i="21" s="1"/>
  <c r="E26" i="21"/>
  <c r="F26" i="21" s="1"/>
  <c r="H26" i="21" s="1"/>
  <c r="E25" i="21"/>
  <c r="F25" i="21" s="1"/>
  <c r="H25" i="21" s="1"/>
  <c r="I25" i="21"/>
  <c r="I27" i="21"/>
  <c r="J41" i="21"/>
  <c r="I26" i="21"/>
  <c r="J26" i="21" s="1"/>
  <c r="K26" i="21" s="1"/>
  <c r="I33" i="21"/>
  <c r="I34" i="21"/>
  <c r="J34" i="21" s="1"/>
  <c r="K34" i="21" s="1"/>
  <c r="J27" i="21"/>
  <c r="K27" i="21" s="1"/>
  <c r="J33" i="21"/>
  <c r="K33" i="21" s="1"/>
  <c r="P32" i="7"/>
  <c r="Q31" i="7"/>
  <c r="J32" i="21" l="1"/>
  <c r="K32" i="21" s="1"/>
  <c r="F29" i="21"/>
  <c r="H29" i="21" s="1"/>
  <c r="I29" i="21"/>
  <c r="F20" i="21"/>
  <c r="H20" i="21" s="1"/>
  <c r="I20" i="21"/>
  <c r="I23" i="21"/>
  <c r="I31" i="21"/>
  <c r="J31" i="21" s="1"/>
  <c r="K31" i="21" s="1"/>
  <c r="F22" i="21"/>
  <c r="H22" i="21" s="1"/>
  <c r="I22" i="21"/>
  <c r="F19" i="21"/>
  <c r="H19" i="21" s="1"/>
  <c r="I19" i="21"/>
  <c r="F30" i="21"/>
  <c r="H30" i="21" s="1"/>
  <c r="I30" i="21"/>
  <c r="E39" i="21"/>
  <c r="I24" i="21"/>
  <c r="J24" i="21" s="1"/>
  <c r="K24" i="21" s="1"/>
  <c r="I32" i="21"/>
  <c r="F36" i="21"/>
  <c r="H36" i="21" s="1"/>
  <c r="I36" i="21"/>
  <c r="F37" i="21"/>
  <c r="H37" i="21" s="1"/>
  <c r="J37" i="21" s="1"/>
  <c r="K37" i="21" s="1"/>
  <c r="I37" i="21"/>
  <c r="F18" i="21"/>
  <c r="I18" i="21"/>
  <c r="F28" i="21"/>
  <c r="H28" i="21" s="1"/>
  <c r="I28" i="21"/>
  <c r="J23" i="21"/>
  <c r="K23" i="21" s="1"/>
  <c r="J21" i="21"/>
  <c r="K21" i="21" s="1"/>
  <c r="J25" i="21"/>
  <c r="K25" i="21" s="1"/>
  <c r="J29" i="21"/>
  <c r="K29" i="21" s="1"/>
  <c r="Q32" i="7"/>
  <c r="P33" i="7"/>
  <c r="J30" i="21" l="1"/>
  <c r="K30" i="21" s="1"/>
  <c r="J19" i="21"/>
  <c r="K19" i="21" s="1"/>
  <c r="J22" i="21"/>
  <c r="K22" i="21" s="1"/>
  <c r="J28" i="21"/>
  <c r="K28" i="21"/>
  <c r="I39" i="21"/>
  <c r="H18" i="21"/>
  <c r="F39" i="21"/>
  <c r="J20" i="21"/>
  <c r="K20" i="21" s="1"/>
  <c r="J36" i="21"/>
  <c r="K36" i="21" s="1"/>
  <c r="Q33" i="7"/>
  <c r="P34" i="7"/>
  <c r="H39" i="21" l="1"/>
  <c r="J18" i="21"/>
  <c r="P35" i="7"/>
  <c r="Q34" i="7"/>
  <c r="K18" i="21" l="1"/>
  <c r="K39" i="21" s="1"/>
  <c r="J39" i="21"/>
  <c r="J42" i="21" s="1"/>
  <c r="Q35" i="7"/>
  <c r="P36" i="7"/>
  <c r="Q36" i="7" l="1"/>
  <c r="P37" i="7"/>
  <c r="Q37" i="7" l="1"/>
  <c r="P38" i="7"/>
  <c r="Q38" i="7" l="1"/>
  <c r="P39" i="7"/>
  <c r="Q39" i="7" l="1"/>
  <c r="P40" i="7"/>
  <c r="Q40" i="7" l="1"/>
  <c r="P41" i="7"/>
  <c r="Q41" i="7" l="1"/>
  <c r="P42" i="7"/>
  <c r="Q42" i="7" l="1"/>
  <c r="P43" i="7"/>
  <c r="Q43" i="7" l="1"/>
  <c r="P44" i="7"/>
  <c r="P45" i="7" l="1"/>
  <c r="Q44" i="7"/>
  <c r="P46" i="7" l="1"/>
  <c r="Q45" i="7"/>
  <c r="Q46" i="7" l="1"/>
  <c r="P47" i="7"/>
  <c r="Q47" i="7" l="1"/>
  <c r="P48" i="7"/>
  <c r="P49" i="7" l="1"/>
  <c r="Q49" i="7" s="1"/>
  <c r="Q48" i="7"/>
  <c r="E5" i="35" l="1"/>
  <c r="D5" i="35"/>
  <c r="F67" i="34"/>
  <c r="C46" i="34"/>
  <c r="E45" i="34"/>
  <c r="E46" i="34" s="1"/>
  <c r="D45" i="34"/>
  <c r="D46" i="34" s="1"/>
  <c r="G44" i="34"/>
  <c r="F44" i="34"/>
  <c r="H44" i="34" s="1"/>
  <c r="D37" i="34"/>
  <c r="C37" i="34"/>
  <c r="E35" i="34"/>
  <c r="F35" i="34" s="1"/>
  <c r="E26" i="34"/>
  <c r="G26" i="34" s="1"/>
  <c r="G35" i="34" l="1"/>
  <c r="H35" i="34" s="1"/>
  <c r="H90" i="2" l="1"/>
  <c r="E90" i="2"/>
  <c r="B7" i="35" l="1"/>
  <c r="D7" i="35" s="1"/>
  <c r="L33" i="6" s="1"/>
  <c r="L34" i="6" s="1"/>
  <c r="L35" i="6" s="1"/>
  <c r="L36" i="6" s="1"/>
  <c r="L37" i="6" s="1"/>
  <c r="L38" i="6" s="1"/>
  <c r="L39" i="6" s="1"/>
  <c r="L40" i="6" s="1"/>
  <c r="L41" i="6" s="1"/>
  <c r="L42" i="6" s="1"/>
  <c r="L43" i="6" s="1"/>
  <c r="L44" i="6" s="1"/>
  <c r="E7" i="35"/>
  <c r="F69" i="34"/>
  <c r="F68" i="34"/>
  <c r="F66" i="34"/>
  <c r="G43" i="34"/>
  <c r="F43" i="34"/>
  <c r="J43" i="34" s="1"/>
  <c r="G42" i="34"/>
  <c r="G45" i="34" s="1"/>
  <c r="G46" i="34" s="1"/>
  <c r="F42" i="34"/>
  <c r="E34" i="34"/>
  <c r="G34" i="34" s="1"/>
  <c r="F34" i="34"/>
  <c r="K34" i="34" s="1"/>
  <c r="E33" i="34"/>
  <c r="F33" i="34" s="1"/>
  <c r="K33" i="34" s="1"/>
  <c r="E32" i="34"/>
  <c r="G32" i="34"/>
  <c r="E31" i="34"/>
  <c r="F31" i="34" s="1"/>
  <c r="J31" i="34" s="1"/>
  <c r="E30" i="34"/>
  <c r="F30" i="34" s="1"/>
  <c r="E29" i="34"/>
  <c r="F29" i="34" s="1"/>
  <c r="J29" i="34" s="1"/>
  <c r="E28" i="34"/>
  <c r="G28" i="34" s="1"/>
  <c r="E27" i="34"/>
  <c r="G27" i="34" s="1"/>
  <c r="E23" i="34"/>
  <c r="G23" i="34" s="1"/>
  <c r="E22" i="34"/>
  <c r="F22" i="34" s="1"/>
  <c r="J22" i="34" s="1"/>
  <c r="E21" i="34"/>
  <c r="F21" i="34" s="1"/>
  <c r="E20" i="34"/>
  <c r="D18" i="34"/>
  <c r="C18" i="34"/>
  <c r="E16" i="34"/>
  <c r="F16" i="34" s="1"/>
  <c r="J16" i="34" s="1"/>
  <c r="G16" i="34"/>
  <c r="E15" i="34"/>
  <c r="F15" i="34" s="1"/>
  <c r="E14" i="34"/>
  <c r="F14" i="34" s="1"/>
  <c r="K14" i="34" s="1"/>
  <c r="E13" i="34"/>
  <c r="R10" i="34"/>
  <c r="R11" i="34" s="1"/>
  <c r="F23" i="34"/>
  <c r="J23" i="34" s="1"/>
  <c r="F32" i="34"/>
  <c r="E14" i="16"/>
  <c r="C45" i="6"/>
  <c r="D138" i="1" s="1"/>
  <c r="E97" i="25" s="1"/>
  <c r="P90" i="2"/>
  <c r="M90" i="2"/>
  <c r="R84" i="2"/>
  <c r="R85" i="2"/>
  <c r="M24" i="6"/>
  <c r="D137" i="1" s="1"/>
  <c r="D37" i="32"/>
  <c r="D53" i="32" s="1"/>
  <c r="D36" i="32"/>
  <c r="D52" i="32" s="1"/>
  <c r="D35" i="32"/>
  <c r="D51" i="32" s="1"/>
  <c r="D34" i="32"/>
  <c r="D50" i="32" s="1"/>
  <c r="D33" i="32"/>
  <c r="D49" i="32" s="1"/>
  <c r="D32" i="32"/>
  <c r="D48" i="32" s="1"/>
  <c r="D31" i="32"/>
  <c r="D47" i="32" s="1"/>
  <c r="D30" i="32"/>
  <c r="D46" i="32"/>
  <c r="D29" i="32"/>
  <c r="D45" i="32" s="1"/>
  <c r="D28" i="32"/>
  <c r="D44" i="32" s="1"/>
  <c r="D27" i="32"/>
  <c r="D43" i="32" s="1"/>
  <c r="D26" i="32"/>
  <c r="D42" i="32" s="1"/>
  <c r="D25" i="32"/>
  <c r="D41" i="32" s="1"/>
  <c r="D20" i="31"/>
  <c r="D30" i="31" s="1"/>
  <c r="D19" i="31"/>
  <c r="D29" i="31" s="1"/>
  <c r="D18" i="31"/>
  <c r="D28" i="31" s="1"/>
  <c r="D21" i="27"/>
  <c r="D31" i="27"/>
  <c r="D20" i="27"/>
  <c r="D30" i="27" s="1"/>
  <c r="D19" i="27"/>
  <c r="D29" i="27" s="1"/>
  <c r="D18" i="27"/>
  <c r="D28" i="27"/>
  <c r="D37" i="28"/>
  <c r="D53" i="28" s="1"/>
  <c r="D36" i="28"/>
  <c r="D52" i="28" s="1"/>
  <c r="D35" i="28"/>
  <c r="D51" i="28" s="1"/>
  <c r="D34" i="28"/>
  <c r="D50" i="28" s="1"/>
  <c r="D33" i="28"/>
  <c r="D49" i="28" s="1"/>
  <c r="D32" i="28"/>
  <c r="D48" i="28" s="1"/>
  <c r="D31" i="28"/>
  <c r="D47" i="28" s="1"/>
  <c r="D30" i="28"/>
  <c r="D46" i="28" s="1"/>
  <c r="D29" i="28"/>
  <c r="D45" i="28" s="1"/>
  <c r="D28" i="28"/>
  <c r="D44" i="28" s="1"/>
  <c r="D27" i="28"/>
  <c r="D43" i="28" s="1"/>
  <c r="D26" i="28"/>
  <c r="D42" i="28" s="1"/>
  <c r="D25" i="28"/>
  <c r="D41" i="28" s="1"/>
  <c r="E13" i="16"/>
  <c r="E12" i="16"/>
  <c r="A2" i="32"/>
  <c r="A2" i="31"/>
  <c r="A2" i="27"/>
  <c r="A2" i="28" s="1"/>
  <c r="G3" i="5"/>
  <c r="H3" i="33"/>
  <c r="B77" i="33" s="1"/>
  <c r="J220" i="33"/>
  <c r="L219" i="33"/>
  <c r="P219" i="33" s="1"/>
  <c r="J177" i="33"/>
  <c r="L177" i="33" s="1"/>
  <c r="P177" i="33" s="1"/>
  <c r="L176" i="33"/>
  <c r="J129" i="33"/>
  <c r="J130" i="33" s="1"/>
  <c r="L128" i="33"/>
  <c r="P128" i="33" s="1"/>
  <c r="D106" i="33"/>
  <c r="D107" i="33" s="1"/>
  <c r="D108" i="33" s="1"/>
  <c r="D109" i="33" s="1"/>
  <c r="D110" i="33" s="1"/>
  <c r="D111" i="33" s="1"/>
  <c r="D112" i="33" s="1"/>
  <c r="D113" i="33" s="1"/>
  <c r="D114" i="33" s="1"/>
  <c r="D115" i="33" s="1"/>
  <c r="D116" i="33" s="1"/>
  <c r="D117" i="33" s="1"/>
  <c r="D150" i="33"/>
  <c r="D151" i="33" s="1"/>
  <c r="D152" i="33" s="1"/>
  <c r="D153" i="33" s="1"/>
  <c r="D154" i="33" s="1"/>
  <c r="D155" i="33" s="1"/>
  <c r="D156" i="33" s="1"/>
  <c r="D157" i="33" s="1"/>
  <c r="D158" i="33" s="1"/>
  <c r="D159" i="33" s="1"/>
  <c r="D160" i="33" s="1"/>
  <c r="D161" i="33" s="1"/>
  <c r="D102" i="33"/>
  <c r="D146" i="33"/>
  <c r="D193" i="33" s="1"/>
  <c r="D235" i="33" s="1"/>
  <c r="D101" i="33"/>
  <c r="D145" i="33"/>
  <c r="D192" i="33" s="1"/>
  <c r="D219" i="33" s="1"/>
  <c r="D220" i="33" s="1"/>
  <c r="D221" i="33" s="1"/>
  <c r="D222" i="33" s="1"/>
  <c r="D223" i="33" s="1"/>
  <c r="D224" i="33" s="1"/>
  <c r="D225" i="33" s="1"/>
  <c r="D226" i="33" s="1"/>
  <c r="D227" i="33" s="1"/>
  <c r="D228" i="33" s="1"/>
  <c r="D229" i="33" s="1"/>
  <c r="D230" i="33" s="1"/>
  <c r="D100" i="33"/>
  <c r="D144" i="33" s="1"/>
  <c r="D176" i="33" s="1"/>
  <c r="D177" i="33" s="1"/>
  <c r="D178" i="33" s="1"/>
  <c r="D179" i="33" s="1"/>
  <c r="D180" i="33" s="1"/>
  <c r="D181" i="33" s="1"/>
  <c r="D182" i="33" s="1"/>
  <c r="D183" i="33" s="1"/>
  <c r="D184" i="33" s="1"/>
  <c r="D185" i="33" s="1"/>
  <c r="D186" i="33" s="1"/>
  <c r="D187" i="33" s="1"/>
  <c r="D99" i="33"/>
  <c r="D128" i="33" s="1"/>
  <c r="D129" i="33" s="1"/>
  <c r="D130" i="33" s="1"/>
  <c r="D131" i="33" s="1"/>
  <c r="D132" i="33" s="1"/>
  <c r="D133" i="33" s="1"/>
  <c r="D134" i="33" s="1"/>
  <c r="D135" i="33" s="1"/>
  <c r="D136" i="33" s="1"/>
  <c r="D137" i="33" s="1"/>
  <c r="D138" i="33" s="1"/>
  <c r="D139" i="33" s="1"/>
  <c r="J84" i="33"/>
  <c r="L83" i="33"/>
  <c r="P83" i="33" s="1"/>
  <c r="D83" i="33"/>
  <c r="D84" i="33" s="1"/>
  <c r="D85" i="33" s="1"/>
  <c r="D86" i="33" s="1"/>
  <c r="D87" i="33" s="1"/>
  <c r="D88" i="33" s="1"/>
  <c r="D89" i="33" s="1"/>
  <c r="D90" i="33" s="1"/>
  <c r="D91" i="33" s="1"/>
  <c r="D92" i="33" s="1"/>
  <c r="D93" i="33" s="1"/>
  <c r="D94" i="33" s="1"/>
  <c r="D58" i="33"/>
  <c r="D59" i="33" s="1"/>
  <c r="D60" i="33" s="1"/>
  <c r="D61" i="33" s="1"/>
  <c r="D62" i="33" s="1"/>
  <c r="D63" i="33" s="1"/>
  <c r="D64" i="33" s="1"/>
  <c r="D65" i="33" s="1"/>
  <c r="D66" i="33" s="1"/>
  <c r="D67" i="33" s="1"/>
  <c r="D68" i="33" s="1"/>
  <c r="J34" i="33"/>
  <c r="D34" i="33"/>
  <c r="D35" i="33" s="1"/>
  <c r="D36" i="33" s="1"/>
  <c r="D37" i="33" s="1"/>
  <c r="D38" i="33" s="1"/>
  <c r="D39" i="33" s="1"/>
  <c r="D40" i="33" s="1"/>
  <c r="D41" i="33" s="1"/>
  <c r="D42" i="33" s="1"/>
  <c r="D43" i="33" s="1"/>
  <c r="D44" i="33" s="1"/>
  <c r="L33" i="33"/>
  <c r="P33" i="33" s="1"/>
  <c r="L15" i="33"/>
  <c r="L14" i="33"/>
  <c r="N254" i="33" s="1"/>
  <c r="L13" i="33"/>
  <c r="N212" i="33" s="1"/>
  <c r="L12" i="33"/>
  <c r="N165" i="33" s="1"/>
  <c r="L11" i="33"/>
  <c r="N121" i="33" s="1"/>
  <c r="L10" i="33"/>
  <c r="N72" i="33" s="1"/>
  <c r="D155" i="1"/>
  <c r="D159" i="1" s="1"/>
  <c r="E117" i="25" s="1"/>
  <c r="C73" i="30"/>
  <c r="C72" i="30"/>
  <c r="C49" i="30"/>
  <c r="C48" i="30"/>
  <c r="C27" i="30"/>
  <c r="C26" i="30"/>
  <c r="C73" i="29"/>
  <c r="C72" i="29"/>
  <c r="C49" i="29"/>
  <c r="C48" i="29"/>
  <c r="C27" i="29"/>
  <c r="C26" i="29"/>
  <c r="F87" i="6"/>
  <c r="G86" i="6"/>
  <c r="K86" i="6" s="1"/>
  <c r="F86" i="6"/>
  <c r="F85" i="6"/>
  <c r="I85" i="6"/>
  <c r="G210" i="1" s="1"/>
  <c r="H161" i="25" s="1"/>
  <c r="J77" i="6"/>
  <c r="J80" i="6" s="1"/>
  <c r="X53" i="32"/>
  <c r="AB53" i="32" s="1"/>
  <c r="AC53" i="32" s="1"/>
  <c r="O53" i="32"/>
  <c r="S53" i="32"/>
  <c r="T53" i="32" s="1"/>
  <c r="X52" i="32"/>
  <c r="AB52" i="32" s="1"/>
  <c r="AC52" i="32" s="1"/>
  <c r="O52" i="32"/>
  <c r="S52" i="32" s="1"/>
  <c r="T52" i="32" s="1"/>
  <c r="X51" i="32"/>
  <c r="AB51" i="32" s="1"/>
  <c r="AC51" i="32" s="1"/>
  <c r="O51" i="32"/>
  <c r="P51" i="32" s="1"/>
  <c r="X50" i="32"/>
  <c r="AB50" i="32" s="1"/>
  <c r="AC50" i="32" s="1"/>
  <c r="O50" i="32"/>
  <c r="S50" i="32" s="1"/>
  <c r="T50" i="32" s="1"/>
  <c r="X49" i="32"/>
  <c r="AB49" i="32" s="1"/>
  <c r="AC49" i="32" s="1"/>
  <c r="O49" i="32"/>
  <c r="S49" i="32" s="1"/>
  <c r="T49" i="32" s="1"/>
  <c r="X48" i="32"/>
  <c r="AB48" i="32" s="1"/>
  <c r="AC48" i="32" s="1"/>
  <c r="O48" i="32"/>
  <c r="S48" i="32" s="1"/>
  <c r="T48" i="32" s="1"/>
  <c r="X47" i="32"/>
  <c r="AB47" i="32" s="1"/>
  <c r="AC47" i="32" s="1"/>
  <c r="AE47" i="32" s="1"/>
  <c r="O47" i="32"/>
  <c r="S47" i="32" s="1"/>
  <c r="T47" i="32" s="1"/>
  <c r="X46" i="32"/>
  <c r="AB46" i="32" s="1"/>
  <c r="AC46" i="32" s="1"/>
  <c r="O46" i="32"/>
  <c r="S46" i="32" s="1"/>
  <c r="T46" i="32" s="1"/>
  <c r="X45" i="32"/>
  <c r="AB45" i="32" s="1"/>
  <c r="AC45" i="32" s="1"/>
  <c r="O45" i="32"/>
  <c r="S45" i="32" s="1"/>
  <c r="T45" i="32" s="1"/>
  <c r="X44" i="32"/>
  <c r="AB44" i="32" s="1"/>
  <c r="AC44" i="32" s="1"/>
  <c r="O44" i="32"/>
  <c r="S44" i="32" s="1"/>
  <c r="T44" i="32" s="1"/>
  <c r="X43" i="32"/>
  <c r="AB43" i="32" s="1"/>
  <c r="AC43" i="32" s="1"/>
  <c r="O43" i="32"/>
  <c r="S43" i="32"/>
  <c r="T43" i="32"/>
  <c r="V43" i="32" s="1"/>
  <c r="X42" i="32"/>
  <c r="AB42" i="32" s="1"/>
  <c r="AC42" i="32" s="1"/>
  <c r="AD42" i="32" s="1"/>
  <c r="O42" i="32"/>
  <c r="S42" i="32" s="1"/>
  <c r="Z41" i="32"/>
  <c r="Q41" i="32"/>
  <c r="X37" i="32"/>
  <c r="AB37" i="32" s="1"/>
  <c r="AC37" i="32" s="1"/>
  <c r="O37" i="32"/>
  <c r="S37" i="32" s="1"/>
  <c r="T37" i="32" s="1"/>
  <c r="F37" i="32"/>
  <c r="J37" i="32" s="1"/>
  <c r="K37" i="32" s="1"/>
  <c r="X36" i="32"/>
  <c r="O36" i="32"/>
  <c r="F36" i="32"/>
  <c r="X35" i="32"/>
  <c r="AB35" i="32" s="1"/>
  <c r="AC35" i="32" s="1"/>
  <c r="O35" i="32"/>
  <c r="S35" i="32" s="1"/>
  <c r="T35" i="32" s="1"/>
  <c r="F35" i="32"/>
  <c r="J35" i="32" s="1"/>
  <c r="K35" i="32" s="1"/>
  <c r="X34" i="32"/>
  <c r="AB34" i="32" s="1"/>
  <c r="AC34" i="32" s="1"/>
  <c r="O34" i="32"/>
  <c r="S34" i="32" s="1"/>
  <c r="T34" i="32"/>
  <c r="F34" i="32"/>
  <c r="J34" i="32" s="1"/>
  <c r="K34" i="32" s="1"/>
  <c r="X33" i="32"/>
  <c r="AB33" i="32" s="1"/>
  <c r="AC33" i="32" s="1"/>
  <c r="O33" i="32"/>
  <c r="S33" i="32" s="1"/>
  <c r="T33" i="32" s="1"/>
  <c r="U33" i="32" s="1"/>
  <c r="F33" i="32"/>
  <c r="J33" i="32" s="1"/>
  <c r="K33" i="32" s="1"/>
  <c r="X32" i="32"/>
  <c r="AB32" i="32" s="1"/>
  <c r="AC32" i="32" s="1"/>
  <c r="O32" i="32"/>
  <c r="F32" i="32"/>
  <c r="J32" i="32" s="1"/>
  <c r="K32" i="32" s="1"/>
  <c r="X31" i="32"/>
  <c r="AB31" i="32" s="1"/>
  <c r="AC31" i="32" s="1"/>
  <c r="O31" i="32"/>
  <c r="S31" i="32" s="1"/>
  <c r="T31" i="32" s="1"/>
  <c r="F31" i="32"/>
  <c r="J31" i="32"/>
  <c r="K31" i="32" s="1"/>
  <c r="X30" i="32"/>
  <c r="AB30" i="32" s="1"/>
  <c r="AC30" i="32" s="1"/>
  <c r="O30" i="32"/>
  <c r="S30" i="32" s="1"/>
  <c r="T30" i="32" s="1"/>
  <c r="F30" i="32"/>
  <c r="J30" i="32" s="1"/>
  <c r="K30" i="32" s="1"/>
  <c r="X29" i="32"/>
  <c r="AB29" i="32" s="1"/>
  <c r="AC29" i="32"/>
  <c r="O29" i="32"/>
  <c r="S29" i="32" s="1"/>
  <c r="T29" i="32" s="1"/>
  <c r="F29" i="32"/>
  <c r="J29" i="32"/>
  <c r="K29" i="32" s="1"/>
  <c r="M29" i="32" s="1"/>
  <c r="X28" i="32"/>
  <c r="Y28" i="32" s="1"/>
  <c r="O28" i="32"/>
  <c r="S28" i="32" s="1"/>
  <c r="T28" i="32" s="1"/>
  <c r="F28" i="32"/>
  <c r="J28" i="32" s="1"/>
  <c r="K28" i="32" s="1"/>
  <c r="X27" i="32"/>
  <c r="AB27" i="32" s="1"/>
  <c r="AC27" i="32" s="1"/>
  <c r="O27" i="32"/>
  <c r="S27" i="32" s="1"/>
  <c r="T27" i="32" s="1"/>
  <c r="F27" i="32"/>
  <c r="J27" i="32" s="1"/>
  <c r="X26" i="32"/>
  <c r="AB26" i="32" s="1"/>
  <c r="AC26" i="32" s="1"/>
  <c r="O26" i="32"/>
  <c r="F26" i="32"/>
  <c r="Z25" i="32"/>
  <c r="Q25" i="32"/>
  <c r="X21" i="32"/>
  <c r="AB21" i="32" s="1"/>
  <c r="AC21" i="32" s="1"/>
  <c r="O21" i="32"/>
  <c r="S21" i="32" s="1"/>
  <c r="T21" i="32" s="1"/>
  <c r="X20" i="32"/>
  <c r="AB20" i="32" s="1"/>
  <c r="AC20" i="32" s="1"/>
  <c r="O20" i="32"/>
  <c r="S20" i="32"/>
  <c r="T20" i="32" s="1"/>
  <c r="X19" i="32"/>
  <c r="AB19" i="32" s="1"/>
  <c r="AC19" i="32" s="1"/>
  <c r="AE19" i="32" s="1"/>
  <c r="O19" i="32"/>
  <c r="S19" i="32" s="1"/>
  <c r="T19" i="32" s="1"/>
  <c r="U19" i="32" s="1"/>
  <c r="X18" i="32"/>
  <c r="AB18" i="32" s="1"/>
  <c r="AC18" i="32" s="1"/>
  <c r="AE18" i="32" s="1"/>
  <c r="O18" i="32"/>
  <c r="S18" i="32" s="1"/>
  <c r="T18" i="32" s="1"/>
  <c r="X17" i="32"/>
  <c r="AB17" i="32" s="1"/>
  <c r="AC17" i="32" s="1"/>
  <c r="O17" i="32"/>
  <c r="S17" i="32" s="1"/>
  <c r="T17" i="32" s="1"/>
  <c r="X16" i="32"/>
  <c r="AB16" i="32" s="1"/>
  <c r="AC16" i="32" s="1"/>
  <c r="O16" i="32"/>
  <c r="S16" i="32" s="1"/>
  <c r="T16" i="32" s="1"/>
  <c r="X15" i="32"/>
  <c r="AB15" i="32" s="1"/>
  <c r="AC15" i="32" s="1"/>
  <c r="O15" i="32"/>
  <c r="S15" i="32" s="1"/>
  <c r="T15" i="32" s="1"/>
  <c r="X14" i="32"/>
  <c r="AB14" i="32" s="1"/>
  <c r="AC14" i="32" s="1"/>
  <c r="O14" i="32"/>
  <c r="X13" i="32"/>
  <c r="AB13" i="32" s="1"/>
  <c r="AC13" i="32" s="1"/>
  <c r="O13" i="32"/>
  <c r="S13" i="32"/>
  <c r="T13" i="32" s="1"/>
  <c r="X12" i="32"/>
  <c r="O12" i="32"/>
  <c r="S12" i="32" s="1"/>
  <c r="T12" i="32" s="1"/>
  <c r="X11" i="32"/>
  <c r="AB11" i="32" s="1"/>
  <c r="AC11" i="32" s="1"/>
  <c r="O11" i="32"/>
  <c r="S11" i="32" s="1"/>
  <c r="T11" i="32" s="1"/>
  <c r="X10" i="32"/>
  <c r="AB10" i="32" s="1"/>
  <c r="O10" i="32"/>
  <c r="S10" i="32" s="1"/>
  <c r="T10" i="32" s="1"/>
  <c r="AA54" i="32"/>
  <c r="R54" i="32"/>
  <c r="I54" i="32"/>
  <c r="E53" i="32"/>
  <c r="E52" i="32"/>
  <c r="E51" i="32"/>
  <c r="E50" i="32"/>
  <c r="E49" i="32"/>
  <c r="E48" i="32"/>
  <c r="E47" i="32"/>
  <c r="E46" i="32"/>
  <c r="AD46" i="32" s="1"/>
  <c r="E45" i="32"/>
  <c r="E44" i="32"/>
  <c r="P44" i="32" s="1"/>
  <c r="E43" i="32"/>
  <c r="E42" i="32"/>
  <c r="E41" i="32"/>
  <c r="AA38" i="32"/>
  <c r="R38" i="32"/>
  <c r="I38" i="32"/>
  <c r="E37" i="32"/>
  <c r="E36" i="32"/>
  <c r="E35" i="32"/>
  <c r="E34" i="32"/>
  <c r="E33" i="32"/>
  <c r="E32" i="32"/>
  <c r="E31" i="32"/>
  <c r="E30" i="32"/>
  <c r="E29" i="32"/>
  <c r="E28" i="32"/>
  <c r="E27" i="32"/>
  <c r="E26" i="32"/>
  <c r="G26" i="32" s="1"/>
  <c r="E25" i="32"/>
  <c r="AA22" i="32"/>
  <c r="R22" i="32"/>
  <c r="I22" i="32"/>
  <c r="E21" i="32"/>
  <c r="E20" i="32"/>
  <c r="E19" i="32"/>
  <c r="E18" i="32"/>
  <c r="E17" i="32"/>
  <c r="E16" i="32"/>
  <c r="E15" i="32"/>
  <c r="E14" i="32"/>
  <c r="E13" i="32"/>
  <c r="E12" i="32"/>
  <c r="E11" i="32"/>
  <c r="E10" i="32"/>
  <c r="A10" i="32"/>
  <c r="A11" i="32" s="1"/>
  <c r="A12" i="32" s="1"/>
  <c r="A13" i="32" s="1"/>
  <c r="A14" i="32" s="1"/>
  <c r="A15" i="32" s="1"/>
  <c r="A16" i="32" s="1"/>
  <c r="A17" i="32" s="1"/>
  <c r="A18" i="32" s="1"/>
  <c r="A19" i="32" s="1"/>
  <c r="A20" i="32" s="1"/>
  <c r="A21" i="32" s="1"/>
  <c r="A22" i="32" s="1"/>
  <c r="A25" i="32" s="1"/>
  <c r="A26" i="32" s="1"/>
  <c r="A27" i="32" s="1"/>
  <c r="A28" i="32" s="1"/>
  <c r="A29" i="32" s="1"/>
  <c r="A30" i="32" s="1"/>
  <c r="A31" i="32" s="1"/>
  <c r="A32" i="32" s="1"/>
  <c r="A33" i="32" s="1"/>
  <c r="A34" i="32" s="1"/>
  <c r="A35" i="32" s="1"/>
  <c r="A36" i="32" s="1"/>
  <c r="A37" i="32" s="1"/>
  <c r="A38" i="32" s="1"/>
  <c r="A41" i="32" s="1"/>
  <c r="A42" i="32" s="1"/>
  <c r="A43" i="32" s="1"/>
  <c r="A44" i="32" s="1"/>
  <c r="A45" i="32" s="1"/>
  <c r="A46" i="32" s="1"/>
  <c r="A47" i="32" s="1"/>
  <c r="A48" i="32" s="1"/>
  <c r="A49" i="32" s="1"/>
  <c r="A50" i="32" s="1"/>
  <c r="A51" i="32" s="1"/>
  <c r="A52" i="32" s="1"/>
  <c r="A53" i="32" s="1"/>
  <c r="A54" i="32" s="1"/>
  <c r="E9" i="32"/>
  <c r="A9" i="27"/>
  <c r="A10" i="27" s="1"/>
  <c r="A11" i="27" s="1"/>
  <c r="A12" i="27" s="1"/>
  <c r="A13" i="27" s="1"/>
  <c r="A14" i="27" s="1"/>
  <c r="A15" i="27" s="1"/>
  <c r="A18" i="27" s="1"/>
  <c r="A19" i="27" s="1"/>
  <c r="A20" i="27" s="1"/>
  <c r="A21" i="27" s="1"/>
  <c r="A22" i="27" s="1"/>
  <c r="A23" i="27" s="1"/>
  <c r="A24" i="27" s="1"/>
  <c r="A25" i="27" s="1"/>
  <c r="A28" i="27" s="1"/>
  <c r="A29" i="27" s="1"/>
  <c r="A30" i="27" s="1"/>
  <c r="A31" i="27" s="1"/>
  <c r="A32" i="27" s="1"/>
  <c r="A33" i="27" s="1"/>
  <c r="A34" i="27" s="1"/>
  <c r="A35" i="27" s="1"/>
  <c r="L205" i="25"/>
  <c r="L204" i="25"/>
  <c r="L203" i="25"/>
  <c r="I57" i="5"/>
  <c r="I56" i="5"/>
  <c r="I55" i="5"/>
  <c r="I54" i="5"/>
  <c r="H11" i="17"/>
  <c r="H13" i="17" s="1"/>
  <c r="G11" i="17"/>
  <c r="G13" i="17" s="1"/>
  <c r="F11" i="17"/>
  <c r="F13" i="17" s="1"/>
  <c r="E11" i="17"/>
  <c r="E13" i="17" s="1"/>
  <c r="D11" i="17"/>
  <c r="D13" i="17" s="1"/>
  <c r="L206" i="25"/>
  <c r="L202" i="25"/>
  <c r="L201" i="25"/>
  <c r="E155" i="25"/>
  <c r="E154" i="25"/>
  <c r="I58" i="5"/>
  <c r="I53" i="5"/>
  <c r="I71" i="1"/>
  <c r="I65" i="1"/>
  <c r="I63" i="1"/>
  <c r="I79" i="1" s="1"/>
  <c r="E44" i="5"/>
  <c r="D87" i="1" s="1"/>
  <c r="A9" i="31"/>
  <c r="A10" i="31" s="1"/>
  <c r="A11" i="31" s="1"/>
  <c r="A12" i="31" s="1"/>
  <c r="A13" i="31" s="1"/>
  <c r="A14" i="31" s="1"/>
  <c r="A15" i="31" s="1"/>
  <c r="A18" i="31" s="1"/>
  <c r="A19" i="31" s="1"/>
  <c r="A20" i="31" s="1"/>
  <c r="A21" i="31" s="1"/>
  <c r="A22" i="31" s="1"/>
  <c r="A23" i="31" s="1"/>
  <c r="A24" i="31" s="1"/>
  <c r="A25" i="31" s="1"/>
  <c r="A28" i="31" s="1"/>
  <c r="A29" i="31" s="1"/>
  <c r="A30" i="31" s="1"/>
  <c r="A31" i="31" s="1"/>
  <c r="A32" i="31" s="1"/>
  <c r="A33" i="31" s="1"/>
  <c r="A34" i="31" s="1"/>
  <c r="A35" i="31" s="1"/>
  <c r="G75" i="30"/>
  <c r="G78" i="30" s="1"/>
  <c r="G10" i="30" s="1"/>
  <c r="F75" i="30"/>
  <c r="F78" i="30" s="1"/>
  <c r="D75" i="30"/>
  <c r="D78" i="30" s="1"/>
  <c r="G51" i="30"/>
  <c r="G54" i="30" s="1"/>
  <c r="G9" i="30" s="1"/>
  <c r="F51" i="30"/>
  <c r="F54" i="30" s="1"/>
  <c r="D51" i="30"/>
  <c r="D54" i="30" s="1"/>
  <c r="G29" i="30"/>
  <c r="G32" i="30" s="1"/>
  <c r="H29" i="27" s="1"/>
  <c r="F29" i="30"/>
  <c r="F32" i="30" s="1"/>
  <c r="F11" i="30" s="1"/>
  <c r="D29" i="30"/>
  <c r="D32" i="30" s="1"/>
  <c r="A10" i="30"/>
  <c r="A11" i="30" s="1"/>
  <c r="A12" i="30" s="1"/>
  <c r="A19" i="30" s="1"/>
  <c r="A20" i="30" s="1"/>
  <c r="A21" i="30" s="1"/>
  <c r="A22" i="30" s="1"/>
  <c r="A23" i="30" s="1"/>
  <c r="A24" i="30" s="1"/>
  <c r="A25" i="30" s="1"/>
  <c r="A26" i="30" s="1"/>
  <c r="A27" i="30" s="1"/>
  <c r="A28" i="30" s="1"/>
  <c r="A29" i="30" s="1"/>
  <c r="A30" i="30" s="1"/>
  <c r="A31" i="30" s="1"/>
  <c r="A32" i="30" s="1"/>
  <c r="A43" i="30" s="1"/>
  <c r="A44" i="30" s="1"/>
  <c r="A45" i="30" s="1"/>
  <c r="A46" i="30" s="1"/>
  <c r="A47" i="30" s="1"/>
  <c r="A48" i="30" s="1"/>
  <c r="A49" i="30" s="1"/>
  <c r="A50" i="30" s="1"/>
  <c r="A51" i="30" s="1"/>
  <c r="A52" i="30" s="1"/>
  <c r="A53" i="30" s="1"/>
  <c r="A54" i="30" s="1"/>
  <c r="A65" i="30" s="1"/>
  <c r="A66" i="30" s="1"/>
  <c r="A67" i="30" s="1"/>
  <c r="A68" i="30" s="1"/>
  <c r="A69" i="30" s="1"/>
  <c r="A70" i="30" s="1"/>
  <c r="A71" i="30" s="1"/>
  <c r="A72" i="30" s="1"/>
  <c r="A73" i="30" s="1"/>
  <c r="A74" i="30" s="1"/>
  <c r="A75" i="30" s="1"/>
  <c r="A76" i="30" s="1"/>
  <c r="A77" i="30" s="1"/>
  <c r="A78" i="30" s="1"/>
  <c r="G75" i="29"/>
  <c r="G78" i="29" s="1"/>
  <c r="H18" i="27" s="1"/>
  <c r="F75" i="29"/>
  <c r="F78" i="29" s="1"/>
  <c r="D75" i="29"/>
  <c r="D78" i="29" s="1"/>
  <c r="G51" i="29"/>
  <c r="G54" i="29" s="1"/>
  <c r="F51" i="29"/>
  <c r="F54" i="29" s="1"/>
  <c r="D51" i="29"/>
  <c r="D54" i="29" s="1"/>
  <c r="G29" i="29"/>
  <c r="G32" i="29" s="1"/>
  <c r="H28" i="31" s="1"/>
  <c r="F29" i="29"/>
  <c r="F32" i="29" s="1"/>
  <c r="F11" i="29" s="1"/>
  <c r="D29" i="29"/>
  <c r="D32" i="29" s="1"/>
  <c r="A10" i="29"/>
  <c r="A11" i="29" s="1"/>
  <c r="A12" i="29" s="1"/>
  <c r="A19" i="29" s="1"/>
  <c r="A20" i="29" s="1"/>
  <c r="A21" i="29" s="1"/>
  <c r="A22" i="29" s="1"/>
  <c r="A23" i="29" s="1"/>
  <c r="A24" i="29" s="1"/>
  <c r="A25" i="29" s="1"/>
  <c r="A26" i="29" s="1"/>
  <c r="A27" i="29" s="1"/>
  <c r="A28" i="29" s="1"/>
  <c r="A29" i="29" s="1"/>
  <c r="A30" i="29" s="1"/>
  <c r="A31" i="29" s="1"/>
  <c r="A32" i="29" s="1"/>
  <c r="A43" i="29" s="1"/>
  <c r="A44" i="29" s="1"/>
  <c r="A45" i="29" s="1"/>
  <c r="A46" i="29" s="1"/>
  <c r="A47" i="29" s="1"/>
  <c r="A48" i="29" s="1"/>
  <c r="A49" i="29" s="1"/>
  <c r="A50" i="29" s="1"/>
  <c r="A51" i="29" s="1"/>
  <c r="A52" i="29" s="1"/>
  <c r="A53" i="29" s="1"/>
  <c r="A54" i="29" s="1"/>
  <c r="A65" i="29" s="1"/>
  <c r="A66" i="29" s="1"/>
  <c r="A67" i="29" s="1"/>
  <c r="A68" i="29" s="1"/>
  <c r="A69" i="29" s="1"/>
  <c r="A70" i="29" s="1"/>
  <c r="A71" i="29" s="1"/>
  <c r="A72" i="29" s="1"/>
  <c r="A73" i="29" s="1"/>
  <c r="A74" i="29" s="1"/>
  <c r="A75" i="29" s="1"/>
  <c r="A76" i="29" s="1"/>
  <c r="A77" i="29" s="1"/>
  <c r="A78" i="29" s="1"/>
  <c r="E53" i="28"/>
  <c r="L53" i="28" s="1"/>
  <c r="E52" i="28"/>
  <c r="J52" i="28" s="1"/>
  <c r="E51" i="28"/>
  <c r="J51" i="28" s="1"/>
  <c r="E50" i="28"/>
  <c r="J50" i="28" s="1"/>
  <c r="E49" i="28"/>
  <c r="J49" i="28" s="1"/>
  <c r="E48" i="28"/>
  <c r="L48" i="28" s="1"/>
  <c r="E47" i="28"/>
  <c r="J47" i="28" s="1"/>
  <c r="L47" i="28"/>
  <c r="E46" i="28"/>
  <c r="J46" i="28" s="1"/>
  <c r="E45" i="28"/>
  <c r="L45" i="28" s="1"/>
  <c r="E44" i="28"/>
  <c r="J44" i="28" s="1"/>
  <c r="E43" i="28"/>
  <c r="L43" i="28" s="1"/>
  <c r="E42" i="28"/>
  <c r="L42" i="28" s="1"/>
  <c r="K41" i="28"/>
  <c r="K54" i="28" s="1"/>
  <c r="I41" i="28"/>
  <c r="I54" i="28" s="1"/>
  <c r="E41" i="28"/>
  <c r="L41" i="28" s="1"/>
  <c r="E37" i="28"/>
  <c r="L37" i="28" s="1"/>
  <c r="E36" i="28"/>
  <c r="E35" i="28"/>
  <c r="H35" i="28" s="1"/>
  <c r="E34" i="28"/>
  <c r="H34" i="28" s="1"/>
  <c r="L34" i="28"/>
  <c r="E33" i="28"/>
  <c r="J33" i="28" s="1"/>
  <c r="E32" i="28"/>
  <c r="J32" i="28" s="1"/>
  <c r="E31" i="28"/>
  <c r="H31" i="28" s="1"/>
  <c r="E30" i="28"/>
  <c r="J30" i="28" s="1"/>
  <c r="L30" i="28"/>
  <c r="E29" i="28"/>
  <c r="L29" i="28" s="1"/>
  <c r="E28" i="28"/>
  <c r="L28" i="28" s="1"/>
  <c r="E27" i="28"/>
  <c r="H27" i="28" s="1"/>
  <c r="E26" i="28"/>
  <c r="L26" i="28" s="1"/>
  <c r="K25" i="28"/>
  <c r="K38" i="28" s="1"/>
  <c r="I25" i="28"/>
  <c r="E25" i="28"/>
  <c r="E21" i="28"/>
  <c r="J21" i="28" s="1"/>
  <c r="E20" i="28"/>
  <c r="L20" i="28" s="1"/>
  <c r="E19" i="28"/>
  <c r="J19" i="28" s="1"/>
  <c r="E18" i="28"/>
  <c r="L18" i="28" s="1"/>
  <c r="E17" i="28"/>
  <c r="J17" i="28" s="1"/>
  <c r="L17" i="28"/>
  <c r="E16" i="28"/>
  <c r="L16" i="28" s="1"/>
  <c r="E15" i="28"/>
  <c r="E14" i="28"/>
  <c r="J14" i="28" s="1"/>
  <c r="E13" i="28"/>
  <c r="L13" i="28" s="1"/>
  <c r="E12" i="28"/>
  <c r="J12" i="28" s="1"/>
  <c r="E11" i="28"/>
  <c r="E10" i="28"/>
  <c r="L10" i="28" s="1"/>
  <c r="J10" i="28"/>
  <c r="A10" i="28"/>
  <c r="A11" i="28" s="1"/>
  <c r="A12" i="28" s="1"/>
  <c r="A13" i="28" s="1"/>
  <c r="A14" i="28" s="1"/>
  <c r="A15" i="28" s="1"/>
  <c r="A16" i="28" s="1"/>
  <c r="A17" i="28" s="1"/>
  <c r="A18" i="28" s="1"/>
  <c r="A19" i="28" s="1"/>
  <c r="A20" i="28" s="1"/>
  <c r="A21" i="28" s="1"/>
  <c r="A22" i="28" s="1"/>
  <c r="A25" i="28" s="1"/>
  <c r="A26" i="28" s="1"/>
  <c r="A27" i="28" s="1"/>
  <c r="A28" i="28" s="1"/>
  <c r="A29" i="28" s="1"/>
  <c r="A30" i="28" s="1"/>
  <c r="A31" i="28" s="1"/>
  <c r="A32" i="28" s="1"/>
  <c r="A33" i="28" s="1"/>
  <c r="A34" i="28" s="1"/>
  <c r="A35" i="28" s="1"/>
  <c r="A36" i="28" s="1"/>
  <c r="A37" i="28" s="1"/>
  <c r="A38" i="28" s="1"/>
  <c r="A41" i="28" s="1"/>
  <c r="A42" i="28" s="1"/>
  <c r="A43" i="28" s="1"/>
  <c r="A44" i="28" s="1"/>
  <c r="A45" i="28" s="1"/>
  <c r="A46" i="28" s="1"/>
  <c r="A47" i="28" s="1"/>
  <c r="A48" i="28" s="1"/>
  <c r="A49" i="28" s="1"/>
  <c r="A50" i="28" s="1"/>
  <c r="A51" i="28" s="1"/>
  <c r="A52" i="28" s="1"/>
  <c r="A53" i="28" s="1"/>
  <c r="A54" i="28" s="1"/>
  <c r="E9" i="28"/>
  <c r="E56" i="26"/>
  <c r="B54" i="26"/>
  <c r="G39" i="26"/>
  <c r="D39" i="26"/>
  <c r="E18" i="26" s="1"/>
  <c r="F37" i="26"/>
  <c r="H37" i="26"/>
  <c r="J37" i="26" s="1"/>
  <c r="F36" i="26"/>
  <c r="H36" i="26" s="1"/>
  <c r="J36" i="26" s="1"/>
  <c r="F35" i="26"/>
  <c r="H35" i="26"/>
  <c r="J35" i="26" s="1"/>
  <c r="F34" i="26"/>
  <c r="H34" i="26" s="1"/>
  <c r="F33" i="26"/>
  <c r="H33" i="26"/>
  <c r="J33" i="26" s="1"/>
  <c r="F32" i="26"/>
  <c r="H32" i="26" s="1"/>
  <c r="F31" i="26"/>
  <c r="H31" i="26" s="1"/>
  <c r="J31" i="26" s="1"/>
  <c r="F30" i="26"/>
  <c r="H30" i="26" s="1"/>
  <c r="J30" i="26" s="1"/>
  <c r="F29" i="26"/>
  <c r="H29" i="26" s="1"/>
  <c r="J29" i="26" s="1"/>
  <c r="F28" i="26"/>
  <c r="H28" i="26" s="1"/>
  <c r="J28" i="26" s="1"/>
  <c r="F27" i="26"/>
  <c r="H27" i="26" s="1"/>
  <c r="J27" i="26" s="1"/>
  <c r="F26" i="26"/>
  <c r="H26" i="26" s="1"/>
  <c r="J26" i="26" s="1"/>
  <c r="F25" i="26"/>
  <c r="H25" i="26" s="1"/>
  <c r="F24" i="26"/>
  <c r="H24" i="26"/>
  <c r="J24" i="26" s="1"/>
  <c r="F23" i="26"/>
  <c r="H23" i="26" s="1"/>
  <c r="F22" i="26"/>
  <c r="H22" i="26" s="1"/>
  <c r="F21" i="26"/>
  <c r="H21" i="26"/>
  <c r="J21" i="26" s="1"/>
  <c r="F20" i="26"/>
  <c r="H20" i="26" s="1"/>
  <c r="F19" i="26"/>
  <c r="H19" i="26" s="1"/>
  <c r="J19" i="26" s="1"/>
  <c r="F18" i="26"/>
  <c r="H18" i="26" s="1"/>
  <c r="E22" i="26"/>
  <c r="E28" i="26"/>
  <c r="E207" i="25"/>
  <c r="E177" i="25"/>
  <c r="A181" i="25"/>
  <c r="A182" i="25"/>
  <c r="A183" i="25" s="1"/>
  <c r="A184" i="25" s="1"/>
  <c r="A185" i="25" s="1"/>
  <c r="A186" i="25" s="1"/>
  <c r="A187" i="25" s="1"/>
  <c r="A188" i="25" s="1"/>
  <c r="A189" i="25" s="1"/>
  <c r="A190" i="25" s="1"/>
  <c r="A191" i="25" s="1"/>
  <c r="A192" i="25" s="1"/>
  <c r="A193" i="25" s="1"/>
  <c r="A194" i="25" s="1"/>
  <c r="A200" i="25" s="1"/>
  <c r="H194" i="25"/>
  <c r="E69" i="25"/>
  <c r="J69" i="25" s="1"/>
  <c r="G194" i="25"/>
  <c r="E65" i="25" s="1"/>
  <c r="J65" i="25" s="1"/>
  <c r="E194" i="25"/>
  <c r="E40" i="25" s="1"/>
  <c r="J40" i="25" s="1"/>
  <c r="D186" i="25"/>
  <c r="D187" i="25" s="1"/>
  <c r="D188" i="25" s="1"/>
  <c r="D189" i="25" s="1"/>
  <c r="D190" i="25" s="1"/>
  <c r="D191" i="25" s="1"/>
  <c r="D192" i="25" s="1"/>
  <c r="D193" i="25" s="1"/>
  <c r="F51" i="22"/>
  <c r="I43" i="22"/>
  <c r="H43" i="22"/>
  <c r="G43" i="22"/>
  <c r="F43" i="22"/>
  <c r="E43" i="22"/>
  <c r="D43" i="22"/>
  <c r="C43" i="22"/>
  <c r="D40" i="22"/>
  <c r="E40" i="22"/>
  <c r="F36" i="22"/>
  <c r="F28" i="22"/>
  <c r="F31" i="22"/>
  <c r="H55" i="22" s="1"/>
  <c r="F70" i="22"/>
  <c r="I71" i="22" s="1"/>
  <c r="J51" i="22"/>
  <c r="F68" i="22"/>
  <c r="I69" i="22"/>
  <c r="F63" i="22"/>
  <c r="I64" i="22" s="1"/>
  <c r="F71" i="22"/>
  <c r="F56" i="22"/>
  <c r="F60" i="22"/>
  <c r="I61" i="22" s="1"/>
  <c r="F64" i="22"/>
  <c r="I65" i="22" s="1"/>
  <c r="F57" i="22"/>
  <c r="I58" i="22" s="1"/>
  <c r="F61" i="22"/>
  <c r="I62" i="22" s="1"/>
  <c r="F65" i="22"/>
  <c r="I66" i="22" s="1"/>
  <c r="F69" i="22"/>
  <c r="I70" i="22" s="1"/>
  <c r="F59" i="22"/>
  <c r="I60" i="22" s="1"/>
  <c r="F67" i="22"/>
  <c r="I68" i="22" s="1"/>
  <c r="F52" i="22"/>
  <c r="F53" i="22"/>
  <c r="F54" i="22"/>
  <c r="I55" i="22" s="1"/>
  <c r="F55" i="22"/>
  <c r="I56" i="22" s="1"/>
  <c r="F58" i="22"/>
  <c r="I59" i="22" s="1"/>
  <c r="F62" i="22"/>
  <c r="F66" i="22"/>
  <c r="I67" i="22" s="1"/>
  <c r="I63" i="22"/>
  <c r="C43" i="5"/>
  <c r="C44" i="5" s="1"/>
  <c r="D94" i="1" s="1"/>
  <c r="D10" i="25"/>
  <c r="E149" i="25"/>
  <c r="H149" i="25" s="1"/>
  <c r="E148" i="25"/>
  <c r="H148" i="25" s="1"/>
  <c r="E147" i="25"/>
  <c r="H147" i="25" s="1"/>
  <c r="E146" i="25"/>
  <c r="H146" i="25" s="1"/>
  <c r="H163" i="25"/>
  <c r="H162" i="25"/>
  <c r="G162" i="25"/>
  <c r="E163" i="25"/>
  <c r="E162" i="25"/>
  <c r="E161" i="25"/>
  <c r="A146" i="25"/>
  <c r="A147" i="25" s="1"/>
  <c r="A148" i="25" s="1"/>
  <c r="A149" i="25" s="1"/>
  <c r="A150" i="25" s="1"/>
  <c r="A153" i="25" s="1"/>
  <c r="A154" i="25" s="1"/>
  <c r="A155" i="25" s="1"/>
  <c r="A156" i="25" s="1"/>
  <c r="A157" i="25" s="1"/>
  <c r="A159" i="25" s="1"/>
  <c r="A160" i="25" s="1"/>
  <c r="A161" i="25" s="1"/>
  <c r="A162" i="25" s="1"/>
  <c r="A163" i="25" s="1"/>
  <c r="E98" i="25"/>
  <c r="A87" i="25"/>
  <c r="A88" i="25" s="1"/>
  <c r="A89" i="25" s="1"/>
  <c r="A90" i="25" s="1"/>
  <c r="A91" i="25" s="1"/>
  <c r="A92" i="25" s="1"/>
  <c r="A93" i="25" s="1"/>
  <c r="A95" i="25" s="1"/>
  <c r="A96" i="25" s="1"/>
  <c r="A97" i="25" s="1"/>
  <c r="A98" i="25" s="1"/>
  <c r="A99" i="25" s="1"/>
  <c r="A101" i="25" s="1"/>
  <c r="A102" i="25" s="1"/>
  <c r="A103" i="25" s="1"/>
  <c r="A104" i="25" s="1"/>
  <c r="A105" i="25" s="1"/>
  <c r="A106" i="25" s="1"/>
  <c r="A107" i="25" s="1"/>
  <c r="A108" i="25" s="1"/>
  <c r="A109" i="25" s="1"/>
  <c r="A110" i="25" s="1"/>
  <c r="A112" i="25" s="1"/>
  <c r="A113" i="25" s="1"/>
  <c r="E92" i="25"/>
  <c r="E42" i="25"/>
  <c r="E38" i="25"/>
  <c r="J38" i="25" s="1"/>
  <c r="E34" i="25"/>
  <c r="E50" i="25" s="1"/>
  <c r="E30" i="25"/>
  <c r="J30" i="25"/>
  <c r="D91" i="25"/>
  <c r="D90" i="25"/>
  <c r="D30" i="25"/>
  <c r="G61" i="25"/>
  <c r="A31" i="25"/>
  <c r="A32" i="25" s="1"/>
  <c r="I87" i="6"/>
  <c r="G57" i="24"/>
  <c r="G5" i="25" s="1"/>
  <c r="G56" i="24"/>
  <c r="G4" i="25" s="1"/>
  <c r="G7" i="24"/>
  <c r="G58" i="24" s="1"/>
  <c r="G6" i="25" s="1"/>
  <c r="G68" i="6"/>
  <c r="D16" i="1" s="1"/>
  <c r="F68" i="6"/>
  <c r="I226" i="1" s="1"/>
  <c r="E68" i="6"/>
  <c r="I225" i="1" s="1"/>
  <c r="I227" i="1" s="1"/>
  <c r="D15" i="1" s="1"/>
  <c r="D68" i="6"/>
  <c r="I222" i="1" s="1"/>
  <c r="D14" i="1" s="1"/>
  <c r="D19" i="1" s="1"/>
  <c r="C68" i="6"/>
  <c r="I219" i="1" s="1"/>
  <c r="I220" i="1" s="1"/>
  <c r="A56" i="6"/>
  <c r="A57" i="6" s="1"/>
  <c r="A58" i="6" s="1"/>
  <c r="A59" i="6" s="1"/>
  <c r="A60" i="6" s="1"/>
  <c r="A61" i="6" s="1"/>
  <c r="A62" i="6" s="1"/>
  <c r="A63" i="6" s="1"/>
  <c r="A64" i="6" s="1"/>
  <c r="A65" i="6" s="1"/>
  <c r="A66" i="6" s="1"/>
  <c r="A67" i="6" s="1"/>
  <c r="A68" i="6" s="1"/>
  <c r="A69" i="6" s="1"/>
  <c r="A70" i="6" s="1"/>
  <c r="A73" i="6" s="1"/>
  <c r="A75" i="6" s="1"/>
  <c r="A77" i="6" s="1"/>
  <c r="A78" i="6" s="1"/>
  <c r="A79" i="6" s="1"/>
  <c r="A80" i="6" s="1"/>
  <c r="A85" i="6" s="1"/>
  <c r="A86" i="6" s="1"/>
  <c r="A87" i="6" s="1"/>
  <c r="A88" i="6" s="1"/>
  <c r="F54" i="6"/>
  <c r="F30" i="6"/>
  <c r="G30" i="6"/>
  <c r="H30" i="6" s="1"/>
  <c r="I30" i="6" s="1"/>
  <c r="J30" i="6" s="1"/>
  <c r="H9" i="6"/>
  <c r="I9" i="6" s="1"/>
  <c r="B57" i="21"/>
  <c r="J86" i="25"/>
  <c r="H96" i="25"/>
  <c r="J96" i="25" s="1"/>
  <c r="I16" i="17"/>
  <c r="D125" i="1" s="1"/>
  <c r="E90" i="25" s="1"/>
  <c r="A4" i="22"/>
  <c r="A41" i="22"/>
  <c r="A42" i="22" s="1"/>
  <c r="A43" i="22" s="1"/>
  <c r="A46" i="22" s="1"/>
  <c r="A47" i="22" s="1"/>
  <c r="A48" i="22" s="1"/>
  <c r="A49" i="22" s="1"/>
  <c r="A50" i="22" s="1"/>
  <c r="A51" i="22" s="1"/>
  <c r="A52" i="22" s="1"/>
  <c r="A53" i="22" s="1"/>
  <c r="A54" i="22" s="1"/>
  <c r="A55" i="22" s="1"/>
  <c r="A56" i="22" s="1"/>
  <c r="A57" i="22" s="1"/>
  <c r="A58" i="22" s="1"/>
  <c r="A59" i="22" s="1"/>
  <c r="A60" i="22" s="1"/>
  <c r="A61" i="22" s="1"/>
  <c r="A62" i="22" s="1"/>
  <c r="A63" i="22" s="1"/>
  <c r="A64" i="22" s="1"/>
  <c r="A65" i="22" s="1"/>
  <c r="A66" i="22" s="1"/>
  <c r="A67" i="22" s="1"/>
  <c r="A68" i="22" s="1"/>
  <c r="A69" i="22" s="1"/>
  <c r="A70" i="22" s="1"/>
  <c r="A71" i="22" s="1"/>
  <c r="A72" i="22" s="1"/>
  <c r="A73" i="22" s="1"/>
  <c r="A74" i="22" s="1"/>
  <c r="A75" i="22" s="1"/>
  <c r="A76" i="22" s="1"/>
  <c r="A77" i="22" s="1"/>
  <c r="A78" i="22" s="1"/>
  <c r="A15" i="22"/>
  <c r="A16" i="22"/>
  <c r="A17" i="22" s="1"/>
  <c r="A18" i="22" s="1"/>
  <c r="A19" i="22" s="1"/>
  <c r="A20" i="22" s="1"/>
  <c r="A23" i="22" s="1"/>
  <c r="A24" i="22" s="1"/>
  <c r="A25" i="22" s="1"/>
  <c r="A26" i="22" s="1"/>
  <c r="A27" i="22" s="1"/>
  <c r="A28" i="22" s="1"/>
  <c r="A29" i="22" s="1"/>
  <c r="A31" i="22" s="1"/>
  <c r="A33" i="22" s="1"/>
  <c r="A34" i="22" s="1"/>
  <c r="A35" i="22" s="1"/>
  <c r="D59" i="5"/>
  <c r="G92" i="1"/>
  <c r="G7" i="2"/>
  <c r="G57" i="2"/>
  <c r="G56" i="2"/>
  <c r="G55" i="2"/>
  <c r="J24" i="6"/>
  <c r="D129" i="1" s="1"/>
  <c r="I129" i="1" s="1"/>
  <c r="E19" i="16"/>
  <c r="E23" i="16" s="1"/>
  <c r="J13" i="16"/>
  <c r="A9" i="16"/>
  <c r="A12" i="16" s="1"/>
  <c r="A13" i="16" s="1"/>
  <c r="A14" i="16" s="1"/>
  <c r="A15" i="16" s="1"/>
  <c r="A16" i="16" s="1"/>
  <c r="A18" i="16" s="1"/>
  <c r="A19" i="16" s="1"/>
  <c r="C3" i="1"/>
  <c r="C3" i="17"/>
  <c r="S89" i="2"/>
  <c r="B3" i="13"/>
  <c r="G3" i="6"/>
  <c r="F5" i="16"/>
  <c r="E7" i="21" s="1"/>
  <c r="I44" i="5"/>
  <c r="D91" i="1" s="1"/>
  <c r="E58" i="25" s="1"/>
  <c r="D45" i="6"/>
  <c r="D140" i="1" s="1"/>
  <c r="I140" i="1" s="1"/>
  <c r="E24" i="6"/>
  <c r="D121" i="1" s="1"/>
  <c r="D24" i="6"/>
  <c r="D120" i="1" s="1"/>
  <c r="K45" i="6"/>
  <c r="D160" i="1" s="1"/>
  <c r="E118" i="25" s="1"/>
  <c r="E24" i="16"/>
  <c r="L24" i="6"/>
  <c r="D132" i="1"/>
  <c r="J45" i="6"/>
  <c r="D151" i="1" s="1"/>
  <c r="E109" i="25" s="1"/>
  <c r="H45" i="6"/>
  <c r="D149" i="1" s="1"/>
  <c r="I149" i="1" s="1"/>
  <c r="F45" i="6"/>
  <c r="D146" i="1" s="1"/>
  <c r="E104" i="25" s="1"/>
  <c r="G24" i="6"/>
  <c r="D123" i="1" s="1"/>
  <c r="E88" i="25" s="1"/>
  <c r="J24" i="5"/>
  <c r="D74" i="1" s="1"/>
  <c r="E41" i="25" s="1"/>
  <c r="F129" i="1"/>
  <c r="G209" i="1"/>
  <c r="I24" i="5"/>
  <c r="D72" i="1" s="1"/>
  <c r="D44" i="5"/>
  <c r="D95" i="1" s="1"/>
  <c r="H24" i="5"/>
  <c r="E70" i="25" s="1"/>
  <c r="G24" i="5"/>
  <c r="D102" i="1" s="1"/>
  <c r="F24" i="5"/>
  <c r="D98" i="1" s="1"/>
  <c r="E24" i="5"/>
  <c r="D93" i="1" s="1"/>
  <c r="D24" i="5"/>
  <c r="D66" i="1" s="1"/>
  <c r="C24" i="5"/>
  <c r="D64" i="1" s="1"/>
  <c r="D56" i="1"/>
  <c r="D113" i="1" s="1"/>
  <c r="D179" i="1" s="1"/>
  <c r="D245" i="1" s="1"/>
  <c r="C154" i="1"/>
  <c r="F120" i="1"/>
  <c r="F121" i="1" s="1"/>
  <c r="K24" i="6"/>
  <c r="D131" i="1" s="1"/>
  <c r="I45" i="6"/>
  <c r="D150" i="1"/>
  <c r="E108" i="25" s="1"/>
  <c r="G45" i="6"/>
  <c r="D148" i="1" s="1"/>
  <c r="H24" i="6"/>
  <c r="D124" i="1" s="1"/>
  <c r="E89" i="25" s="1"/>
  <c r="E45" i="6"/>
  <c r="D145" i="1" s="1"/>
  <c r="E103" i="25" s="1"/>
  <c r="I24" i="6"/>
  <c r="D126" i="1" s="1"/>
  <c r="C24" i="6"/>
  <c r="D119" i="1" s="1"/>
  <c r="F24" i="6"/>
  <c r="D122" i="1" s="1"/>
  <c r="E87" i="25" s="1"/>
  <c r="D199" i="1"/>
  <c r="A187" i="1"/>
  <c r="A188" i="1" s="1"/>
  <c r="A189" i="1"/>
  <c r="A191" i="1" s="1"/>
  <c r="A193" i="1" s="1"/>
  <c r="A195" i="1" s="1"/>
  <c r="A120" i="1"/>
  <c r="A121" i="1"/>
  <c r="A122" i="1" s="1"/>
  <c r="A123" i="1" s="1"/>
  <c r="A14" i="1"/>
  <c r="A15" i="1" s="1"/>
  <c r="A16" i="1" s="1"/>
  <c r="A17" i="1" s="1"/>
  <c r="A18" i="1" s="1"/>
  <c r="A19" i="1" s="1"/>
  <c r="A21" i="1" s="1"/>
  <c r="A23" i="1" s="1"/>
  <c r="A25" i="1" s="1"/>
  <c r="A64" i="1"/>
  <c r="A65" i="1" s="1"/>
  <c r="A66" i="1" s="1"/>
  <c r="D33" i="25" s="1"/>
  <c r="F94" i="1"/>
  <c r="F93" i="1" s="1"/>
  <c r="D213" i="1"/>
  <c r="E212" i="1" s="1"/>
  <c r="F14" i="16" s="1"/>
  <c r="J14" i="16" s="1"/>
  <c r="I211" i="1"/>
  <c r="J162" i="25" s="1"/>
  <c r="G198" i="1"/>
  <c r="G197" i="1"/>
  <c r="G195" i="1"/>
  <c r="D83" i="1"/>
  <c r="D81" i="1"/>
  <c r="D79" i="1"/>
  <c r="G73" i="1"/>
  <c r="I73" i="1" s="1"/>
  <c r="K111" i="1"/>
  <c r="K177" i="1"/>
  <c r="K243" i="1"/>
  <c r="K54" i="1"/>
  <c r="E7" i="26"/>
  <c r="D87" i="25"/>
  <c r="D133" i="1" l="1"/>
  <c r="V34" i="32"/>
  <c r="V53" i="32"/>
  <c r="J18" i="28"/>
  <c r="AE31" i="32"/>
  <c r="H29" i="28"/>
  <c r="L44" i="28"/>
  <c r="G32" i="32"/>
  <c r="J26" i="28"/>
  <c r="L25" i="28"/>
  <c r="E30" i="26"/>
  <c r="H28" i="28"/>
  <c r="U44" i="32"/>
  <c r="E34" i="26"/>
  <c r="H30" i="28"/>
  <c r="G37" i="32"/>
  <c r="Y11" i="32"/>
  <c r="E37" i="26"/>
  <c r="E26" i="26"/>
  <c r="E35" i="26"/>
  <c r="E28" i="16"/>
  <c r="E25" i="26"/>
  <c r="Y10" i="32"/>
  <c r="E21" i="26"/>
  <c r="L49" i="28"/>
  <c r="L19" i="28"/>
  <c r="D31" i="25"/>
  <c r="AD27" i="32"/>
  <c r="P43" i="32"/>
  <c r="AD29" i="32"/>
  <c r="H34" i="34"/>
  <c r="N34" i="34" s="1"/>
  <c r="J25" i="28"/>
  <c r="J35" i="28"/>
  <c r="Y18" i="32"/>
  <c r="P14" i="32"/>
  <c r="U28" i="32"/>
  <c r="I59" i="5"/>
  <c r="D92" i="1" s="1"/>
  <c r="I92" i="1" s="1"/>
  <c r="J13" i="28"/>
  <c r="R72" i="2"/>
  <c r="H150" i="25"/>
  <c r="J150" i="25" s="1"/>
  <c r="J154" i="25" s="1"/>
  <c r="V12" i="32"/>
  <c r="Y12" i="32"/>
  <c r="V13" i="32"/>
  <c r="R82" i="2"/>
  <c r="E23" i="26"/>
  <c r="J45" i="28"/>
  <c r="L45" i="6"/>
  <c r="D161" i="1" s="1"/>
  <c r="E25" i="16" s="1"/>
  <c r="E29" i="16" s="1"/>
  <c r="I95" i="1"/>
  <c r="E62" i="25"/>
  <c r="J62" i="25" s="1"/>
  <c r="Y51" i="32"/>
  <c r="V21" i="32"/>
  <c r="G35" i="32"/>
  <c r="K42" i="34"/>
  <c r="F45" i="34"/>
  <c r="P31" i="32"/>
  <c r="I38" i="28"/>
  <c r="AE29" i="32"/>
  <c r="P13" i="32"/>
  <c r="F38" i="32"/>
  <c r="F20" i="34"/>
  <c r="I13" i="17"/>
  <c r="D127" i="1" s="1"/>
  <c r="E91" i="25" s="1"/>
  <c r="E93" i="25" s="1"/>
  <c r="E68" i="25" s="1"/>
  <c r="E71" i="25" s="1"/>
  <c r="G25" i="34"/>
  <c r="E24" i="34"/>
  <c r="F24" i="34" s="1"/>
  <c r="K24" i="34" s="1"/>
  <c r="G24" i="34"/>
  <c r="H24" i="34" s="1"/>
  <c r="E25" i="34"/>
  <c r="G67" i="34"/>
  <c r="J48" i="28"/>
  <c r="J34" i="28"/>
  <c r="P12" i="32"/>
  <c r="P53" i="32"/>
  <c r="L52" i="28"/>
  <c r="AB12" i="32"/>
  <c r="AC12" i="32" s="1"/>
  <c r="AD12" i="32" s="1"/>
  <c r="G36" i="32"/>
  <c r="E46" i="25"/>
  <c r="H26" i="28"/>
  <c r="Y16" i="32"/>
  <c r="G27" i="32"/>
  <c r="E99" i="25"/>
  <c r="S14" i="32"/>
  <c r="T14" i="32" s="1"/>
  <c r="U14" i="32" s="1"/>
  <c r="U43" i="32"/>
  <c r="Y15" i="32"/>
  <c r="O22" i="32"/>
  <c r="AD31" i="32"/>
  <c r="J33" i="34"/>
  <c r="AD11" i="32"/>
  <c r="Y42" i="32"/>
  <c r="AF42" i="32" s="1"/>
  <c r="U17" i="32"/>
  <c r="F88" i="6"/>
  <c r="L129" i="33"/>
  <c r="P129" i="33" s="1"/>
  <c r="Y43" i="32"/>
  <c r="V11" i="32"/>
  <c r="G14" i="34"/>
  <c r="H14" i="34" s="1"/>
  <c r="J16" i="28"/>
  <c r="Y50" i="32"/>
  <c r="P52" i="32"/>
  <c r="J28" i="28"/>
  <c r="P16" i="32"/>
  <c r="AE49" i="32"/>
  <c r="J31" i="28"/>
  <c r="L31" i="28"/>
  <c r="AE21" i="32"/>
  <c r="J20" i="28"/>
  <c r="G21" i="34"/>
  <c r="H21" i="34" s="1"/>
  <c r="N21" i="34" s="1"/>
  <c r="H32" i="34"/>
  <c r="N32" i="34" s="1"/>
  <c r="G31" i="34"/>
  <c r="H31" i="34" s="1"/>
  <c r="G30" i="34"/>
  <c r="H30" i="34" s="1"/>
  <c r="N30" i="34" s="1"/>
  <c r="F28" i="34"/>
  <c r="J28" i="34" s="1"/>
  <c r="F27" i="34"/>
  <c r="H27" i="34" s="1"/>
  <c r="K22" i="34"/>
  <c r="E122" i="25"/>
  <c r="E113" i="25"/>
  <c r="AD35" i="32"/>
  <c r="AE35" i="32"/>
  <c r="L32" i="32"/>
  <c r="M32" i="32"/>
  <c r="H8" i="31"/>
  <c r="K9" i="28"/>
  <c r="K22" i="28" s="1"/>
  <c r="H8" i="27"/>
  <c r="G9" i="29"/>
  <c r="L35" i="32"/>
  <c r="M35" i="32"/>
  <c r="L130" i="33"/>
  <c r="P130" i="33" s="1"/>
  <c r="J131" i="33"/>
  <c r="G9" i="27"/>
  <c r="F9" i="30"/>
  <c r="F12" i="30" s="1"/>
  <c r="H16" i="34"/>
  <c r="U35" i="32"/>
  <c r="V35" i="32"/>
  <c r="AE48" i="32"/>
  <c r="AD48" i="32"/>
  <c r="E54" i="25"/>
  <c r="I87" i="1"/>
  <c r="V31" i="32"/>
  <c r="U31" i="32"/>
  <c r="K29" i="34"/>
  <c r="D197" i="33"/>
  <c r="J53" i="28"/>
  <c r="U34" i="32"/>
  <c r="G87" i="6"/>
  <c r="K87" i="6" s="1"/>
  <c r="G11" i="30"/>
  <c r="G12" i="30" s="1"/>
  <c r="J42" i="28"/>
  <c r="J43" i="28"/>
  <c r="P19" i="32"/>
  <c r="E24" i="26"/>
  <c r="G28" i="27"/>
  <c r="L29" i="32"/>
  <c r="P11" i="32"/>
  <c r="O38" i="32"/>
  <c r="P36" i="32"/>
  <c r="AE46" i="32"/>
  <c r="G20" i="34"/>
  <c r="E210" i="1"/>
  <c r="G85" i="6" s="1"/>
  <c r="K85" i="6" s="1"/>
  <c r="H43" i="34"/>
  <c r="M43" i="34" s="1"/>
  <c r="V16" i="32"/>
  <c r="E36" i="26"/>
  <c r="AE26" i="32"/>
  <c r="U13" i="32"/>
  <c r="G28" i="32"/>
  <c r="J178" i="33"/>
  <c r="J179" i="33" s="1"/>
  <c r="J180" i="33" s="1"/>
  <c r="L180" i="33" s="1"/>
  <c r="P180" i="33" s="1"/>
  <c r="I131" i="1"/>
  <c r="I81" i="1"/>
  <c r="D164" i="1"/>
  <c r="K28" i="26"/>
  <c r="H28" i="27"/>
  <c r="G28" i="31"/>
  <c r="V28" i="32"/>
  <c r="Y32" i="32"/>
  <c r="Y19" i="32"/>
  <c r="K31" i="34"/>
  <c r="G33" i="34"/>
  <c r="H33" i="34" s="1"/>
  <c r="G11" i="29"/>
  <c r="P27" i="32"/>
  <c r="P28" i="32"/>
  <c r="G30" i="32"/>
  <c r="B170" i="33"/>
  <c r="E119" i="25"/>
  <c r="E123" i="25" s="1"/>
  <c r="AD21" i="32"/>
  <c r="P20" i="32"/>
  <c r="J36" i="32"/>
  <c r="K36" i="32" s="1"/>
  <c r="L36" i="32" s="1"/>
  <c r="AE11" i="32"/>
  <c r="H23" i="34"/>
  <c r="M23" i="34" s="1"/>
  <c r="AD26" i="32"/>
  <c r="Y13" i="32"/>
  <c r="Y21" i="32"/>
  <c r="L37" i="32"/>
  <c r="U12" i="32"/>
  <c r="P18" i="32"/>
  <c r="G29" i="34"/>
  <c r="H29" i="34" s="1"/>
  <c r="AE45" i="32"/>
  <c r="Y53" i="32"/>
  <c r="J46" i="25"/>
  <c r="A67" i="1"/>
  <c r="D34" i="25" s="1"/>
  <c r="R78" i="2"/>
  <c r="K33" i="26"/>
  <c r="J29" i="28"/>
  <c r="K21" i="26"/>
  <c r="J41" i="28"/>
  <c r="E27" i="26"/>
  <c r="J26" i="32"/>
  <c r="K26" i="32" s="1"/>
  <c r="Y31" i="32"/>
  <c r="AD18" i="32"/>
  <c r="J34" i="34"/>
  <c r="P33" i="32"/>
  <c r="AD16" i="32"/>
  <c r="Y52" i="32"/>
  <c r="E29" i="26"/>
  <c r="K31" i="26"/>
  <c r="L21" i="28"/>
  <c r="Y14" i="32"/>
  <c r="J20" i="34"/>
  <c r="D103" i="1"/>
  <c r="A20" i="16"/>
  <c r="A21" i="16" s="1"/>
  <c r="A22" i="16" s="1"/>
  <c r="A23" i="16" s="1"/>
  <c r="B23" i="16"/>
  <c r="A196" i="1"/>
  <c r="D146" i="25"/>
  <c r="R66" i="2"/>
  <c r="J23" i="26"/>
  <c r="K23" i="26" s="1"/>
  <c r="J34" i="26"/>
  <c r="K34" i="26"/>
  <c r="AE52" i="32"/>
  <c r="AD52" i="32"/>
  <c r="E107" i="25"/>
  <c r="J107" i="25" s="1"/>
  <c r="I94" i="1"/>
  <c r="E61" i="25"/>
  <c r="J61" i="25" s="1"/>
  <c r="G8" i="31"/>
  <c r="Q9" i="32"/>
  <c r="F9" i="29"/>
  <c r="I9" i="28"/>
  <c r="G8" i="27"/>
  <c r="J18" i="26"/>
  <c r="K18" i="26" s="1"/>
  <c r="H39" i="26"/>
  <c r="A124" i="1"/>
  <c r="D88" i="25"/>
  <c r="J20" i="26"/>
  <c r="K20" i="26" s="1"/>
  <c r="C117" i="25"/>
  <c r="A114" i="25"/>
  <c r="A115" i="25" s="1"/>
  <c r="A116" i="25" s="1"/>
  <c r="A117" i="25" s="1"/>
  <c r="A118" i="25" s="1"/>
  <c r="A119" i="25" s="1"/>
  <c r="A120" i="25" s="1"/>
  <c r="A121" i="25" s="1"/>
  <c r="A122" i="25" s="1"/>
  <c r="A123" i="25" s="1"/>
  <c r="A124" i="25" s="1"/>
  <c r="A125" i="25" s="1"/>
  <c r="A127" i="25" s="1"/>
  <c r="A128" i="25" s="1"/>
  <c r="A130" i="25" s="1"/>
  <c r="J22" i="26"/>
  <c r="K22" i="26" s="1"/>
  <c r="J32" i="26"/>
  <c r="K32" i="26"/>
  <c r="AE50" i="32"/>
  <c r="AD50" i="32"/>
  <c r="AD33" i="32"/>
  <c r="AE33" i="32"/>
  <c r="K26" i="26"/>
  <c r="G19" i="27"/>
  <c r="F10" i="30"/>
  <c r="G19" i="31"/>
  <c r="AE32" i="32"/>
  <c r="AD32" i="32"/>
  <c r="V20" i="32"/>
  <c r="U20" i="32"/>
  <c r="L34" i="32"/>
  <c r="M34" i="32"/>
  <c r="K27" i="26"/>
  <c r="H19" i="27"/>
  <c r="H19" i="31"/>
  <c r="AD15" i="32"/>
  <c r="AE15" i="32"/>
  <c r="AD51" i="32"/>
  <c r="AE51" i="32"/>
  <c r="L12" i="28"/>
  <c r="L11" i="28"/>
  <c r="J11" i="28"/>
  <c r="L36" i="28"/>
  <c r="H36" i="28"/>
  <c r="J36" i="28"/>
  <c r="L50" i="28"/>
  <c r="AE14" i="32"/>
  <c r="AD14" i="32"/>
  <c r="X54" i="32"/>
  <c r="A33" i="25"/>
  <c r="A34" i="25" s="1"/>
  <c r="D194" i="25"/>
  <c r="E32" i="25" s="1"/>
  <c r="AE43" i="32"/>
  <c r="AD43" i="32"/>
  <c r="I57" i="22"/>
  <c r="K29" i="26"/>
  <c r="H37" i="28"/>
  <c r="AD17" i="32"/>
  <c r="P17" i="32"/>
  <c r="Y17" i="32"/>
  <c r="P34" i="32"/>
  <c r="Y34" i="32"/>
  <c r="G34" i="32"/>
  <c r="AD53" i="32"/>
  <c r="AE53" i="32"/>
  <c r="V30" i="32"/>
  <c r="U30" i="32"/>
  <c r="AD44" i="32"/>
  <c r="AE44" i="32"/>
  <c r="J27" i="28"/>
  <c r="G18" i="31"/>
  <c r="F10" i="29"/>
  <c r="G18" i="27"/>
  <c r="V45" i="32"/>
  <c r="U45" i="32"/>
  <c r="G10" i="29"/>
  <c r="H18" i="31"/>
  <c r="T22" i="32"/>
  <c r="V10" i="32"/>
  <c r="U10" i="32"/>
  <c r="U18" i="32"/>
  <c r="V18" i="32"/>
  <c r="F40" i="22"/>
  <c r="K30" i="26"/>
  <c r="L15" i="28"/>
  <c r="J15" i="28"/>
  <c r="L27" i="28"/>
  <c r="G29" i="27"/>
  <c r="G29" i="31"/>
  <c r="E150" i="25"/>
  <c r="J25" i="26"/>
  <c r="K25" i="26" s="1"/>
  <c r="K36" i="26"/>
  <c r="V52" i="32"/>
  <c r="U52" i="32"/>
  <c r="U29" i="32"/>
  <c r="V29" i="32"/>
  <c r="Y36" i="32"/>
  <c r="AB36" i="32"/>
  <c r="AC36" i="32" s="1"/>
  <c r="K27" i="32"/>
  <c r="V47" i="32"/>
  <c r="F39" i="26"/>
  <c r="K35" i="26"/>
  <c r="M30" i="32"/>
  <c r="L30" i="32"/>
  <c r="P47" i="32"/>
  <c r="Y47" i="32"/>
  <c r="AD47" i="32"/>
  <c r="E164" i="25"/>
  <c r="L207" i="25"/>
  <c r="E59" i="25" s="1"/>
  <c r="J59" i="25" s="1"/>
  <c r="AE37" i="32"/>
  <c r="AD37" i="32"/>
  <c r="U48" i="32"/>
  <c r="V48" i="32"/>
  <c r="J37" i="28"/>
  <c r="AE30" i="32"/>
  <c r="AD30" i="32"/>
  <c r="L28" i="32"/>
  <c r="M28" i="32"/>
  <c r="S32" i="32"/>
  <c r="T32" i="32" s="1"/>
  <c r="P32" i="32"/>
  <c r="K19" i="26"/>
  <c r="K37" i="26"/>
  <c r="H9" i="27"/>
  <c r="H9" i="31"/>
  <c r="AE13" i="32"/>
  <c r="AD13" i="32"/>
  <c r="V37" i="32"/>
  <c r="U37" i="32"/>
  <c r="V49" i="32"/>
  <c r="U49" i="32"/>
  <c r="K24" i="26"/>
  <c r="L32" i="28"/>
  <c r="H32" i="28"/>
  <c r="L46" i="28"/>
  <c r="AB54" i="32"/>
  <c r="AD19" i="32"/>
  <c r="AB28" i="32"/>
  <c r="X38" i="32"/>
  <c r="E31" i="26"/>
  <c r="E19" i="26"/>
  <c r="E32" i="26"/>
  <c r="E33" i="26"/>
  <c r="E20" i="26"/>
  <c r="L33" i="28"/>
  <c r="H33" i="28"/>
  <c r="AC54" i="32"/>
  <c r="Y37" i="32"/>
  <c r="AD34" i="32"/>
  <c r="AE34" i="32"/>
  <c r="F26" i="34"/>
  <c r="L35" i="28"/>
  <c r="T42" i="32"/>
  <c r="P49" i="32"/>
  <c r="AD20" i="32"/>
  <c r="V27" i="32"/>
  <c r="U27" i="32"/>
  <c r="E17" i="34"/>
  <c r="E18" i="34" s="1"/>
  <c r="G13" i="34"/>
  <c r="F13" i="34"/>
  <c r="AE42" i="32"/>
  <c r="Y49" i="32"/>
  <c r="L33" i="32"/>
  <c r="AE27" i="32"/>
  <c r="Y30" i="32"/>
  <c r="AC10" i="32"/>
  <c r="M37" i="32"/>
  <c r="Y44" i="32"/>
  <c r="Y45" i="32"/>
  <c r="P45" i="32"/>
  <c r="P42" i="32"/>
  <c r="M31" i="32"/>
  <c r="L31" i="32"/>
  <c r="P37" i="32"/>
  <c r="G33" i="32"/>
  <c r="Y35" i="32"/>
  <c r="Y20" i="32"/>
  <c r="U15" i="32"/>
  <c r="P15" i="32"/>
  <c r="AE20" i="32"/>
  <c r="AE17" i="32"/>
  <c r="G9" i="31"/>
  <c r="K30" i="34"/>
  <c r="J30" i="34"/>
  <c r="P50" i="32"/>
  <c r="U21" i="32"/>
  <c r="X22" i="32"/>
  <c r="Y29" i="32"/>
  <c r="V17" i="32"/>
  <c r="V15" i="32"/>
  <c r="V50" i="32"/>
  <c r="P48" i="32"/>
  <c r="P10" i="32"/>
  <c r="P21" i="32"/>
  <c r="S51" i="32"/>
  <c r="T51" i="32" s="1"/>
  <c r="P176" i="33"/>
  <c r="V44" i="32"/>
  <c r="P46" i="32"/>
  <c r="Y46" i="32"/>
  <c r="U53" i="32"/>
  <c r="AD45" i="32"/>
  <c r="Y33" i="32"/>
  <c r="V46" i="32"/>
  <c r="U46" i="32"/>
  <c r="H29" i="31"/>
  <c r="L14" i="28"/>
  <c r="Z9" i="32"/>
  <c r="S26" i="32"/>
  <c r="U16" i="32"/>
  <c r="V19" i="32"/>
  <c r="M33" i="32"/>
  <c r="O54" i="32"/>
  <c r="V33" i="32"/>
  <c r="S36" i="32"/>
  <c r="T36" i="32" s="1"/>
  <c r="L220" i="33"/>
  <c r="J221" i="33"/>
  <c r="L34" i="33"/>
  <c r="P34" i="33" s="1"/>
  <c r="J35" i="33"/>
  <c r="J14" i="34"/>
  <c r="N23" i="34"/>
  <c r="G69" i="34"/>
  <c r="U50" i="32"/>
  <c r="U47" i="32"/>
  <c r="U11" i="32"/>
  <c r="P26" i="32"/>
  <c r="Y26" i="32"/>
  <c r="L51" i="28"/>
  <c r="AD49" i="32"/>
  <c r="AE16" i="32"/>
  <c r="Y27" i="32"/>
  <c r="P30" i="32"/>
  <c r="Y48" i="32"/>
  <c r="K21" i="34"/>
  <c r="J21" i="34"/>
  <c r="J32" i="34"/>
  <c r="K32" i="34"/>
  <c r="G66" i="34"/>
  <c r="P35" i="32"/>
  <c r="G22" i="34"/>
  <c r="G31" i="32"/>
  <c r="L84" i="33"/>
  <c r="J85" i="33"/>
  <c r="G68" i="34"/>
  <c r="P29" i="32"/>
  <c r="G29" i="32"/>
  <c r="K23" i="34"/>
  <c r="K16" i="34"/>
  <c r="K15" i="34"/>
  <c r="J15" i="34"/>
  <c r="G15" i="34"/>
  <c r="H15" i="34" s="1"/>
  <c r="J42" i="34"/>
  <c r="H42" i="34"/>
  <c r="D141" i="1"/>
  <c r="K43" i="34"/>
  <c r="E106" i="25"/>
  <c r="D152" i="1"/>
  <c r="K78" i="2"/>
  <c r="E15" i="16"/>
  <c r="I19" i="16" s="1"/>
  <c r="I212" i="1"/>
  <c r="J163" i="25" s="1"/>
  <c r="H12" i="16"/>
  <c r="G163" i="25"/>
  <c r="D68" i="1"/>
  <c r="K82" i="2"/>
  <c r="D76" i="1"/>
  <c r="E39" i="25"/>
  <c r="I186" i="1"/>
  <c r="E31" i="25"/>
  <c r="D80" i="1"/>
  <c r="D82" i="1"/>
  <c r="E33" i="25"/>
  <c r="E60" i="25"/>
  <c r="J60" i="25" s="1"/>
  <c r="I93" i="1"/>
  <c r="G12" i="29" l="1"/>
  <c r="Z42" i="32"/>
  <c r="L9" i="28"/>
  <c r="M34" i="34"/>
  <c r="G161" i="25"/>
  <c r="Z10" i="32"/>
  <c r="Z11" i="32" s="1"/>
  <c r="Z12" i="32" s="1"/>
  <c r="Z13" i="32" s="1"/>
  <c r="Z14" i="32" s="1"/>
  <c r="Z15" i="32" s="1"/>
  <c r="Z16" i="32" s="1"/>
  <c r="Z17" i="32" s="1"/>
  <c r="Z18" i="32" s="1"/>
  <c r="Z19" i="32" s="1"/>
  <c r="Z20" i="32" s="1"/>
  <c r="Z21" i="32" s="1"/>
  <c r="I210" i="1"/>
  <c r="J161" i="25" s="1"/>
  <c r="J164" i="25" s="1"/>
  <c r="J181" i="33"/>
  <c r="J182" i="33" s="1"/>
  <c r="D165" i="1"/>
  <c r="H33" i="25"/>
  <c r="H41" i="25" s="1"/>
  <c r="AB22" i="32"/>
  <c r="H45" i="34"/>
  <c r="H46" i="34" s="1"/>
  <c r="Y22" i="32"/>
  <c r="K28" i="34"/>
  <c r="AE12" i="32"/>
  <c r="M32" i="34"/>
  <c r="F12" i="16"/>
  <c r="J12" i="16" s="1"/>
  <c r="J15" i="16" s="1"/>
  <c r="E20" i="16" s="1"/>
  <c r="K20" i="34"/>
  <c r="J24" i="34"/>
  <c r="E36" i="34"/>
  <c r="E37" i="34" s="1"/>
  <c r="S22" i="32"/>
  <c r="D134" i="1"/>
  <c r="D101" i="1" s="1"/>
  <c r="D104" i="1" s="1"/>
  <c r="F46" i="34"/>
  <c r="J45" i="34"/>
  <c r="K45" i="34"/>
  <c r="M36" i="32"/>
  <c r="L178" i="33"/>
  <c r="P178" i="33" s="1"/>
  <c r="K88" i="6"/>
  <c r="V14" i="32"/>
  <c r="V22" i="32" s="1"/>
  <c r="M30" i="34"/>
  <c r="J38" i="32"/>
  <c r="H20" i="34"/>
  <c r="M20" i="34" s="1"/>
  <c r="G36" i="34"/>
  <c r="G37" i="34" s="1"/>
  <c r="K67" i="34"/>
  <c r="J67" i="34"/>
  <c r="Z43" i="32"/>
  <c r="Z44" i="32" s="1"/>
  <c r="Z45" i="32" s="1"/>
  <c r="Z46" i="32" s="1"/>
  <c r="Z47" i="32" s="1"/>
  <c r="Z48" i="32" s="1"/>
  <c r="Z49" i="32" s="1"/>
  <c r="Z50" i="32" s="1"/>
  <c r="Z51" i="32" s="1"/>
  <c r="Z52" i="32" s="1"/>
  <c r="Z53" i="32" s="1"/>
  <c r="J38" i="28"/>
  <c r="G20" i="27" s="1"/>
  <c r="G21" i="27" s="1"/>
  <c r="A68" i="1"/>
  <c r="A70" i="1" s="1"/>
  <c r="A71" i="1" s="1"/>
  <c r="C79" i="1" s="1"/>
  <c r="N43" i="34"/>
  <c r="M31" i="34"/>
  <c r="N31" i="34"/>
  <c r="H28" i="34"/>
  <c r="N27" i="34"/>
  <c r="M27" i="34"/>
  <c r="K27" i="34"/>
  <c r="J27" i="34"/>
  <c r="N24" i="34"/>
  <c r="M24" i="34"/>
  <c r="H26" i="34"/>
  <c r="M26" i="34" s="1"/>
  <c r="D198" i="33"/>
  <c r="D199" i="33" s="1"/>
  <c r="D200" i="33" s="1"/>
  <c r="D201" i="33" s="1"/>
  <c r="D202" i="33" s="1"/>
  <c r="D203" i="33" s="1"/>
  <c r="D204" i="33" s="1"/>
  <c r="D205" i="33" s="1"/>
  <c r="D206" i="33" s="1"/>
  <c r="D207" i="33" s="1"/>
  <c r="D208" i="33" s="1"/>
  <c r="D239" i="33"/>
  <c r="D240" i="33" s="1"/>
  <c r="D241" i="33" s="1"/>
  <c r="D242" i="33" s="1"/>
  <c r="D243" i="33" s="1"/>
  <c r="D244" i="33" s="1"/>
  <c r="D245" i="33" s="1"/>
  <c r="D246" i="33" s="1"/>
  <c r="D247" i="33" s="1"/>
  <c r="D248" i="33" s="1"/>
  <c r="D249" i="33" s="1"/>
  <c r="D250" i="33" s="1"/>
  <c r="M26" i="32"/>
  <c r="L26" i="32"/>
  <c r="N26" i="32" s="1"/>
  <c r="AD54" i="32"/>
  <c r="AE54" i="32"/>
  <c r="L131" i="33"/>
  <c r="P131" i="33" s="1"/>
  <c r="J132" i="33"/>
  <c r="L54" i="28"/>
  <c r="H30" i="27" s="1"/>
  <c r="H31" i="27" s="1"/>
  <c r="L38" i="28"/>
  <c r="H20" i="27" s="1"/>
  <c r="H21" i="27" s="1"/>
  <c r="J54" i="28"/>
  <c r="G30" i="27" s="1"/>
  <c r="G31" i="27" s="1"/>
  <c r="M16" i="34"/>
  <c r="N16" i="34"/>
  <c r="M33" i="34"/>
  <c r="N33" i="34"/>
  <c r="M21" i="34"/>
  <c r="E110" i="25"/>
  <c r="L179" i="33"/>
  <c r="P179" i="33" s="1"/>
  <c r="AF43" i="32"/>
  <c r="AF44" i="32" s="1"/>
  <c r="AF45" i="32" s="1"/>
  <c r="AF46" i="32" s="1"/>
  <c r="AF47" i="32" s="1"/>
  <c r="AF48" i="32" s="1"/>
  <c r="AF49" i="32" s="1"/>
  <c r="AF50" i="32" s="1"/>
  <c r="AF51" i="32" s="1"/>
  <c r="AF52" i="32" s="1"/>
  <c r="AF53" i="32" s="1"/>
  <c r="H30" i="31" s="1"/>
  <c r="H31" i="31" s="1"/>
  <c r="K39" i="26"/>
  <c r="N14" i="34"/>
  <c r="M14" i="34"/>
  <c r="M42" i="34"/>
  <c r="N42" i="34"/>
  <c r="K68" i="34"/>
  <c r="J68" i="34"/>
  <c r="K26" i="34"/>
  <c r="J26" i="34"/>
  <c r="Y54" i="32"/>
  <c r="A197" i="1"/>
  <c r="D147" i="25"/>
  <c r="J36" i="33"/>
  <c r="L35" i="33"/>
  <c r="P35" i="33" s="1"/>
  <c r="P54" i="32"/>
  <c r="Q42" i="32"/>
  <c r="Q43" i="32" s="1"/>
  <c r="Q44" i="32" s="1"/>
  <c r="Q45" i="32" s="1"/>
  <c r="Q46" i="32" s="1"/>
  <c r="Q47" i="32" s="1"/>
  <c r="Q48" i="32" s="1"/>
  <c r="Q49" i="32" s="1"/>
  <c r="Q50" i="32" s="1"/>
  <c r="Q51" i="32" s="1"/>
  <c r="Q52" i="32" s="1"/>
  <c r="Q53" i="32" s="1"/>
  <c r="K13" i="34"/>
  <c r="J13" i="34"/>
  <c r="F17" i="34"/>
  <c r="M15" i="34"/>
  <c r="N15" i="34"/>
  <c r="L85" i="33"/>
  <c r="P85" i="33" s="1"/>
  <c r="J86" i="33"/>
  <c r="T26" i="32"/>
  <c r="S38" i="32"/>
  <c r="H13" i="34"/>
  <c r="G17" i="34"/>
  <c r="G18" i="34" s="1"/>
  <c r="S54" i="32"/>
  <c r="A24" i="16"/>
  <c r="A25" i="16" s="1"/>
  <c r="A26" i="16" s="1"/>
  <c r="A27" i="16" s="1"/>
  <c r="B29" i="16"/>
  <c r="B28" i="16"/>
  <c r="B30" i="16"/>
  <c r="AC28" i="32"/>
  <c r="AB38" i="32"/>
  <c r="M27" i="32"/>
  <c r="L27" i="32"/>
  <c r="K38" i="32"/>
  <c r="J39" i="26"/>
  <c r="J42" i="26" s="1"/>
  <c r="R69" i="2"/>
  <c r="R90" i="2" s="1"/>
  <c r="I22" i="28"/>
  <c r="J9" i="28"/>
  <c r="J22" i="28" s="1"/>
  <c r="G10" i="27" s="1"/>
  <c r="G11" i="27" s="1"/>
  <c r="P84" i="33"/>
  <c r="Y38" i="32"/>
  <c r="Z26" i="32"/>
  <c r="Z27" i="32" s="1"/>
  <c r="Z28" i="32" s="1"/>
  <c r="Z29" i="32" s="1"/>
  <c r="Z30" i="32" s="1"/>
  <c r="Z31" i="32" s="1"/>
  <c r="Z32" i="32" s="1"/>
  <c r="Z33" i="32" s="1"/>
  <c r="Z34" i="32" s="1"/>
  <c r="Z35" i="32" s="1"/>
  <c r="Z36" i="32" s="1"/>
  <c r="Z37" i="32" s="1"/>
  <c r="AF26" i="32"/>
  <c r="AF27" i="32" s="1"/>
  <c r="F12" i="29"/>
  <c r="P220" i="33"/>
  <c r="AD36" i="32"/>
  <c r="AE36" i="32"/>
  <c r="P38" i="32"/>
  <c r="Q26" i="32"/>
  <c r="Q27" i="32" s="1"/>
  <c r="Q28" i="32" s="1"/>
  <c r="Q29" i="32" s="1"/>
  <c r="Q30" i="32" s="1"/>
  <c r="Q31" i="32" s="1"/>
  <c r="Q32" i="32" s="1"/>
  <c r="Q33" i="32" s="1"/>
  <c r="Q34" i="32" s="1"/>
  <c r="Q35" i="32" s="1"/>
  <c r="Q36" i="32" s="1"/>
  <c r="Q37" i="32" s="1"/>
  <c r="J44" i="34"/>
  <c r="K44" i="34"/>
  <c r="K66" i="34"/>
  <c r="J66" i="34"/>
  <c r="U32" i="32"/>
  <c r="V32" i="32"/>
  <c r="L22" i="28"/>
  <c r="H10" i="27" s="1"/>
  <c r="H11" i="27" s="1"/>
  <c r="U51" i="32"/>
  <c r="V51" i="32"/>
  <c r="I20" i="16"/>
  <c r="H22" i="34"/>
  <c r="U36" i="32"/>
  <c r="V36" i="32"/>
  <c r="AC22" i="32"/>
  <c r="AD10" i="32"/>
  <c r="AD22" i="32" s="1"/>
  <c r="AE10" i="32"/>
  <c r="AF10" i="32"/>
  <c r="AF11" i="32" s="1"/>
  <c r="AF12" i="32" s="1"/>
  <c r="AF13" i="32" s="1"/>
  <c r="AF14" i="32" s="1"/>
  <c r="AF15" i="32" s="1"/>
  <c r="AF16" i="32" s="1"/>
  <c r="AF17" i="32" s="1"/>
  <c r="AF18" i="32" s="1"/>
  <c r="AF19" i="32" s="1"/>
  <c r="AF20" i="32" s="1"/>
  <c r="AF21" i="32" s="1"/>
  <c r="H10" i="31" s="1"/>
  <c r="H11" i="31" s="1"/>
  <c r="G40" i="22"/>
  <c r="T54" i="32"/>
  <c r="V42" i="32"/>
  <c r="U42" i="32"/>
  <c r="E48" i="25"/>
  <c r="J32" i="25"/>
  <c r="A126" i="1"/>
  <c r="A128" i="1" s="1"/>
  <c r="D89" i="25"/>
  <c r="J222" i="33"/>
  <c r="L221" i="33"/>
  <c r="P221" i="33" s="1"/>
  <c r="P22" i="32"/>
  <c r="Q10" i="32"/>
  <c r="Q11" i="32" s="1"/>
  <c r="Q12" i="32" s="1"/>
  <c r="Q13" i="32" s="1"/>
  <c r="Q14" i="32" s="1"/>
  <c r="Q15" i="32" s="1"/>
  <c r="Q16" i="32" s="1"/>
  <c r="Q17" i="32" s="1"/>
  <c r="Q18" i="32" s="1"/>
  <c r="Q19" i="32" s="1"/>
  <c r="Q20" i="32" s="1"/>
  <c r="Q21" i="32" s="1"/>
  <c r="W10" i="32"/>
  <c r="W11" i="32" s="1"/>
  <c r="W12" i="32" s="1"/>
  <c r="W13" i="32" s="1"/>
  <c r="W14" i="32" s="1"/>
  <c r="W15" i="32" s="1"/>
  <c r="W16" i="32" s="1"/>
  <c r="W17" i="32" s="1"/>
  <c r="W18" i="32" s="1"/>
  <c r="W19" i="32" s="1"/>
  <c r="W20" i="32" s="1"/>
  <c r="W21" i="32" s="1"/>
  <c r="G10" i="31" s="1"/>
  <c r="G11" i="31" s="1"/>
  <c r="G38" i="32"/>
  <c r="F25" i="34"/>
  <c r="H25" i="34" s="1"/>
  <c r="E39" i="26"/>
  <c r="M29" i="34"/>
  <c r="N29" i="34"/>
  <c r="U22" i="32"/>
  <c r="A35" i="25"/>
  <c r="A37" i="25" s="1"/>
  <c r="A38" i="25" s="1"/>
  <c r="A72" i="1"/>
  <c r="K90" i="2"/>
  <c r="E49" i="25"/>
  <c r="D84" i="1"/>
  <c r="D202" i="1"/>
  <c r="J39" i="25"/>
  <c r="E43" i="25"/>
  <c r="J31" i="25"/>
  <c r="E47" i="25"/>
  <c r="E35" i="25"/>
  <c r="I189" i="1"/>
  <c r="I191" i="1" s="1"/>
  <c r="L181" i="33" l="1"/>
  <c r="I213" i="1"/>
  <c r="D156" i="1" s="1"/>
  <c r="E114" i="25" s="1"/>
  <c r="N45" i="34"/>
  <c r="D38" i="25"/>
  <c r="M45" i="34"/>
  <c r="J33" i="25"/>
  <c r="K69" i="34"/>
  <c r="M33" i="6" s="1"/>
  <c r="M34" i="6" s="1"/>
  <c r="M35" i="6" s="1"/>
  <c r="M36" i="6" s="1"/>
  <c r="M37" i="6" s="1"/>
  <c r="M38" i="6" s="1"/>
  <c r="M39" i="6" s="1"/>
  <c r="M40" i="6" s="1"/>
  <c r="M41" i="6" s="1"/>
  <c r="M42" i="6" s="1"/>
  <c r="M43" i="6" s="1"/>
  <c r="M44" i="6" s="1"/>
  <c r="H87" i="25"/>
  <c r="J41" i="25"/>
  <c r="N26" i="34"/>
  <c r="AE22" i="32"/>
  <c r="K46" i="34"/>
  <c r="E74" i="29" s="1"/>
  <c r="C74" i="29" s="1"/>
  <c r="C75" i="29" s="1"/>
  <c r="C78" i="29" s="1"/>
  <c r="F25" i="28" s="1"/>
  <c r="F38" i="28" s="1"/>
  <c r="J46" i="34"/>
  <c r="U54" i="32"/>
  <c r="V54" i="32"/>
  <c r="N20" i="34"/>
  <c r="H36" i="34"/>
  <c r="F36" i="34"/>
  <c r="L38" i="32"/>
  <c r="M38" i="32"/>
  <c r="J69" i="34"/>
  <c r="M28" i="34"/>
  <c r="N28" i="34"/>
  <c r="J133" i="33"/>
  <c r="L132" i="33"/>
  <c r="P132" i="33" s="1"/>
  <c r="M25" i="34"/>
  <c r="N25" i="34"/>
  <c r="J37" i="33"/>
  <c r="L36" i="33"/>
  <c r="A129" i="1"/>
  <c r="A130" i="1" s="1"/>
  <c r="A131" i="1" s="1"/>
  <c r="A132" i="1" s="1"/>
  <c r="A133" i="1" s="1"/>
  <c r="A134" i="1" s="1"/>
  <c r="A136" i="1" s="1"/>
  <c r="A137" i="1" s="1"/>
  <c r="A138" i="1" s="1"/>
  <c r="D92" i="25"/>
  <c r="N13" i="34"/>
  <c r="M13" i="34"/>
  <c r="H17" i="34"/>
  <c r="A198" i="1"/>
  <c r="D148" i="25"/>
  <c r="U26" i="32"/>
  <c r="T38" i="32"/>
  <c r="V26" i="32"/>
  <c r="V38" i="32" s="1"/>
  <c r="J87" i="33"/>
  <c r="L86" i="33"/>
  <c r="AE28" i="32"/>
  <c r="AE38" i="32" s="1"/>
  <c r="AD28" i="32"/>
  <c r="AD38" i="32" s="1"/>
  <c r="AC38" i="32"/>
  <c r="K25" i="34"/>
  <c r="J25" i="34"/>
  <c r="H40" i="22"/>
  <c r="M22" i="34"/>
  <c r="N22" i="34"/>
  <c r="L182" i="33"/>
  <c r="P182" i="33" s="1"/>
  <c r="J183" i="33"/>
  <c r="F18" i="34"/>
  <c r="K17" i="34"/>
  <c r="K18" i="34" s="1"/>
  <c r="E28" i="29" s="1"/>
  <c r="J17" i="34"/>
  <c r="J18" i="34" s="1"/>
  <c r="P181" i="33"/>
  <c r="D23" i="1"/>
  <c r="I23" i="1" s="1"/>
  <c r="A28" i="16"/>
  <c r="A29" i="16" s="1"/>
  <c r="A30" i="16" s="1"/>
  <c r="A31" i="16" s="1"/>
  <c r="A33" i="16" s="1"/>
  <c r="A35" i="16" s="1"/>
  <c r="A36" i="16" s="1"/>
  <c r="A37" i="16" s="1"/>
  <c r="A38" i="16" s="1"/>
  <c r="A39" i="16" s="1"/>
  <c r="A40" i="16" s="1"/>
  <c r="W42" i="32"/>
  <c r="W43" i="32" s="1"/>
  <c r="W44" i="32" s="1"/>
  <c r="W45" i="32" s="1"/>
  <c r="W46" i="32" s="1"/>
  <c r="W47" i="32" s="1"/>
  <c r="W48" i="32" s="1"/>
  <c r="W49" i="32" s="1"/>
  <c r="W50" i="32" s="1"/>
  <c r="W51" i="32" s="1"/>
  <c r="W52" i="32" s="1"/>
  <c r="W53" i="32" s="1"/>
  <c r="G30" i="31" s="1"/>
  <c r="G31" i="31" s="1"/>
  <c r="D39" i="25"/>
  <c r="A73" i="1"/>
  <c r="J169" i="25"/>
  <c r="K169" i="25" s="1"/>
  <c r="E10" i="25" s="1"/>
  <c r="J48" i="25"/>
  <c r="J172" i="25" s="1"/>
  <c r="K172" i="25" s="1"/>
  <c r="J10" i="25" s="1"/>
  <c r="N27" i="32"/>
  <c r="N28" i="32" s="1"/>
  <c r="N29" i="32" s="1"/>
  <c r="N30" i="32" s="1"/>
  <c r="N31" i="32" s="1"/>
  <c r="N32" i="32" s="1"/>
  <c r="N33" i="32" s="1"/>
  <c r="N34" i="32" s="1"/>
  <c r="N35" i="32" s="1"/>
  <c r="N36" i="32" s="1"/>
  <c r="N37" i="32" s="1"/>
  <c r="F20" i="31" s="1"/>
  <c r="D46" i="25"/>
  <c r="A39" i="25"/>
  <c r="A40" i="25" s="1"/>
  <c r="L222" i="33"/>
  <c r="P222" i="33" s="1"/>
  <c r="J223" i="33"/>
  <c r="M44" i="34"/>
  <c r="M46" i="34" s="1"/>
  <c r="N44" i="34"/>
  <c r="N46" i="34" s="1"/>
  <c r="E51" i="25"/>
  <c r="G119" i="1"/>
  <c r="E196" i="1"/>
  <c r="G196" i="1" s="1"/>
  <c r="G199" i="1" s="1"/>
  <c r="I199" i="1" s="1"/>
  <c r="G14" i="1"/>
  <c r="G64" i="1"/>
  <c r="J47" i="25"/>
  <c r="E153" i="25"/>
  <c r="E156" i="25" s="1"/>
  <c r="H154" i="25" s="1"/>
  <c r="L154" i="25" s="1"/>
  <c r="H34" i="25" s="1"/>
  <c r="D205" i="1"/>
  <c r="G203" i="1" s="1"/>
  <c r="J49" i="25" l="1"/>
  <c r="E75" i="29"/>
  <c r="E78" i="29" s="1"/>
  <c r="G25" i="28" s="1"/>
  <c r="H25" i="32"/>
  <c r="H26" i="32" s="1"/>
  <c r="H27" i="32" s="1"/>
  <c r="H28" i="32" s="1"/>
  <c r="H29" i="32" s="1"/>
  <c r="H30" i="32" s="1"/>
  <c r="H31" i="32" s="1"/>
  <c r="H32" i="32" s="1"/>
  <c r="H33" i="32" s="1"/>
  <c r="H34" i="32" s="1"/>
  <c r="H35" i="32" s="1"/>
  <c r="H36" i="32" s="1"/>
  <c r="H37" i="32" s="1"/>
  <c r="J87" i="25"/>
  <c r="H88" i="25"/>
  <c r="H97" i="25"/>
  <c r="E74" i="30"/>
  <c r="O46" i="34"/>
  <c r="J36" i="34"/>
  <c r="K36" i="34"/>
  <c r="F37" i="34"/>
  <c r="H37" i="34"/>
  <c r="M36" i="34"/>
  <c r="N36" i="34"/>
  <c r="B31" i="16"/>
  <c r="M45" i="6"/>
  <c r="D162" i="1" s="1"/>
  <c r="D166" i="1" s="1"/>
  <c r="AF28" i="32"/>
  <c r="AF29" i="32" s="1"/>
  <c r="AF30" i="32" s="1"/>
  <c r="AF31" i="32" s="1"/>
  <c r="AF32" i="32" s="1"/>
  <c r="AF33" i="32" s="1"/>
  <c r="AF34" i="32" s="1"/>
  <c r="AF35" i="32" s="1"/>
  <c r="AF36" i="32" s="1"/>
  <c r="AF37" i="32" s="1"/>
  <c r="H20" i="31" s="1"/>
  <c r="H21" i="31" s="1"/>
  <c r="L133" i="33"/>
  <c r="P133" i="33" s="1"/>
  <c r="J134" i="33"/>
  <c r="I40" i="22"/>
  <c r="G54" i="22" s="1"/>
  <c r="J54" i="22" s="1"/>
  <c r="G60" i="22"/>
  <c r="J60" i="22" s="1"/>
  <c r="C28" i="29"/>
  <c r="C29" i="29" s="1"/>
  <c r="C32" i="29" s="1"/>
  <c r="F41" i="28" s="1"/>
  <c r="E29" i="29"/>
  <c r="E32" i="29" s="1"/>
  <c r="H41" i="32"/>
  <c r="L183" i="33"/>
  <c r="P183" i="33" s="1"/>
  <c r="J184" i="33"/>
  <c r="K35" i="34"/>
  <c r="J35" i="34"/>
  <c r="A199" i="1"/>
  <c r="A201" i="1" s="1"/>
  <c r="A202" i="1" s="1"/>
  <c r="D149" i="25"/>
  <c r="K10" i="25"/>
  <c r="J11" i="25"/>
  <c r="N35" i="34"/>
  <c r="M35" i="34"/>
  <c r="H18" i="34"/>
  <c r="M17" i="34"/>
  <c r="M18" i="34" s="1"/>
  <c r="N17" i="34"/>
  <c r="N18" i="34" s="1"/>
  <c r="F18" i="31"/>
  <c r="E18" i="31" s="1"/>
  <c r="A139" i="1"/>
  <c r="D97" i="25"/>
  <c r="P86" i="33"/>
  <c r="P36" i="33"/>
  <c r="J88" i="33"/>
  <c r="L87" i="33"/>
  <c r="P87" i="33" s="1"/>
  <c r="L37" i="33"/>
  <c r="P37" i="33" s="1"/>
  <c r="J38" i="33"/>
  <c r="E11" i="25"/>
  <c r="G10" i="25"/>
  <c r="A74" i="1"/>
  <c r="C81" i="1"/>
  <c r="J224" i="33"/>
  <c r="L223" i="33"/>
  <c r="A41" i="25"/>
  <c r="A42" i="25" s="1"/>
  <c r="D48" i="25"/>
  <c r="U38" i="32"/>
  <c r="W26" i="32"/>
  <c r="W27" i="32" s="1"/>
  <c r="W28" i="32" s="1"/>
  <c r="W29" i="32" s="1"/>
  <c r="W30" i="32" s="1"/>
  <c r="W31" i="32" s="1"/>
  <c r="W32" i="32" s="1"/>
  <c r="W33" i="32" s="1"/>
  <c r="W34" i="32" s="1"/>
  <c r="W35" i="32" s="1"/>
  <c r="W36" i="32" s="1"/>
  <c r="W37" i="32" s="1"/>
  <c r="G20" i="31" s="1"/>
  <c r="G21" i="31" s="1"/>
  <c r="J34" i="25"/>
  <c r="H42" i="25"/>
  <c r="I64" i="1"/>
  <c r="G72" i="1"/>
  <c r="G15" i="1"/>
  <c r="I14" i="1"/>
  <c r="H14" i="31"/>
  <c r="H15" i="31" s="1"/>
  <c r="H24" i="31"/>
  <c r="H24" i="27"/>
  <c r="H25" i="27" s="1"/>
  <c r="I203" i="1"/>
  <c r="K203" i="1" s="1"/>
  <c r="G67" i="1" s="1"/>
  <c r="H34" i="31"/>
  <c r="H35" i="31" s="1"/>
  <c r="H34" i="27"/>
  <c r="H35" i="27" s="1"/>
  <c r="G66" i="1"/>
  <c r="H14" i="27"/>
  <c r="H15" i="27" s="1"/>
  <c r="G126" i="1"/>
  <c r="I126" i="1" s="1"/>
  <c r="G102" i="1"/>
  <c r="I102" i="1" s="1"/>
  <c r="I119" i="1"/>
  <c r="G132" i="1"/>
  <c r="I132" i="1" s="1"/>
  <c r="I133" i="1" s="1"/>
  <c r="G120" i="1"/>
  <c r="G69" i="22" l="1"/>
  <c r="J69" i="22" s="1"/>
  <c r="G64" i="22"/>
  <c r="J64" i="22" s="1"/>
  <c r="G59" i="22"/>
  <c r="J59" i="22" s="1"/>
  <c r="E10" i="29"/>
  <c r="F18" i="27"/>
  <c r="E18" i="27" s="1"/>
  <c r="G68" i="22"/>
  <c r="J68" i="22" s="1"/>
  <c r="H103" i="25"/>
  <c r="J97" i="25"/>
  <c r="H89" i="25"/>
  <c r="J88" i="25"/>
  <c r="H25" i="31"/>
  <c r="N37" i="34"/>
  <c r="G63" i="22"/>
  <c r="J63" i="22" s="1"/>
  <c r="M37" i="34"/>
  <c r="G55" i="22"/>
  <c r="J55" i="22" s="1"/>
  <c r="G57" i="22"/>
  <c r="J57" i="22" s="1"/>
  <c r="G56" i="22"/>
  <c r="J56" i="22" s="1"/>
  <c r="K37" i="34"/>
  <c r="E50" i="29" s="1"/>
  <c r="C50" i="29" s="1"/>
  <c r="C51" i="29" s="1"/>
  <c r="C54" i="29" s="1"/>
  <c r="F9" i="28" s="1"/>
  <c r="G58" i="22"/>
  <c r="J58" i="22" s="1"/>
  <c r="J37" i="34"/>
  <c r="G62" i="22"/>
  <c r="J62" i="22" s="1"/>
  <c r="G71" i="22"/>
  <c r="J71" i="22" s="1"/>
  <c r="G66" i="22"/>
  <c r="J66" i="22" s="1"/>
  <c r="G53" i="22"/>
  <c r="J53" i="22" s="1"/>
  <c r="G70" i="22"/>
  <c r="J70" i="22" s="1"/>
  <c r="G52" i="22"/>
  <c r="J52" i="22" s="1"/>
  <c r="E26" i="16"/>
  <c r="E30" i="16" s="1"/>
  <c r="E120" i="25"/>
  <c r="E124" i="25" s="1"/>
  <c r="J135" i="33"/>
  <c r="L134" i="33"/>
  <c r="P134" i="33" s="1"/>
  <c r="M10" i="25"/>
  <c r="O10" i="25" s="1"/>
  <c r="L88" i="33"/>
  <c r="P88" i="33" s="1"/>
  <c r="J89" i="33"/>
  <c r="L224" i="33"/>
  <c r="P224" i="33" s="1"/>
  <c r="J225" i="33"/>
  <c r="J39" i="33"/>
  <c r="L38" i="33"/>
  <c r="P223" i="33"/>
  <c r="L184" i="33"/>
  <c r="P184" i="33" s="1"/>
  <c r="J185" i="33"/>
  <c r="E20" i="31"/>
  <c r="E11" i="29"/>
  <c r="F28" i="31"/>
  <c r="E28" i="31" s="1"/>
  <c r="F28" i="27"/>
  <c r="E28" i="27" s="1"/>
  <c r="G41" i="28"/>
  <c r="G38" i="28"/>
  <c r="H25" i="28"/>
  <c r="H38" i="28" s="1"/>
  <c r="F20" i="27" s="1"/>
  <c r="E20" i="27" s="1"/>
  <c r="A75" i="1"/>
  <c r="D41" i="25"/>
  <c r="E28" i="30"/>
  <c r="O18" i="34"/>
  <c r="G11" i="25"/>
  <c r="E12" i="25"/>
  <c r="A140" i="1"/>
  <c r="A141" i="1" s="1"/>
  <c r="A143" i="1" s="1"/>
  <c r="A144" i="1" s="1"/>
  <c r="A145" i="1" s="1"/>
  <c r="D98" i="25"/>
  <c r="G61" i="22"/>
  <c r="J61" i="22" s="1"/>
  <c r="G67" i="22"/>
  <c r="J67" i="22" s="1"/>
  <c r="J12" i="25"/>
  <c r="K11" i="25"/>
  <c r="A43" i="25"/>
  <c r="A45" i="25" s="1"/>
  <c r="A46" i="25" s="1"/>
  <c r="A47" i="25" s="1"/>
  <c r="A48" i="25" s="1"/>
  <c r="A49" i="25" s="1"/>
  <c r="A50" i="25" s="1"/>
  <c r="A51" i="25" s="1"/>
  <c r="A53" i="25" s="1"/>
  <c r="A54" i="25" s="1"/>
  <c r="A55" i="25" s="1"/>
  <c r="A56" i="25" s="1"/>
  <c r="A57" i="25" s="1"/>
  <c r="A58" i="25" s="1"/>
  <c r="A60" i="25" s="1"/>
  <c r="A61" i="25" s="1"/>
  <c r="A62" i="25" s="1"/>
  <c r="A63" i="25" s="1"/>
  <c r="A65" i="25" s="1"/>
  <c r="A67" i="25" s="1"/>
  <c r="A68" i="25" s="1"/>
  <c r="A69" i="25" s="1"/>
  <c r="A70" i="25" s="1"/>
  <c r="A71" i="25" s="1"/>
  <c r="A73" i="25" s="1"/>
  <c r="D50" i="25"/>
  <c r="C74" i="30"/>
  <c r="C75" i="30" s="1"/>
  <c r="C78" i="30" s="1"/>
  <c r="E75" i="30"/>
  <c r="E78" i="30" s="1"/>
  <c r="G65" i="22"/>
  <c r="J65" i="22" s="1"/>
  <c r="A203" i="1"/>
  <c r="D153" i="25"/>
  <c r="G74" i="1"/>
  <c r="I66" i="1"/>
  <c r="I67" i="1"/>
  <c r="G75" i="1"/>
  <c r="G16" i="1"/>
  <c r="I16" i="1" s="1"/>
  <c r="I15" i="1"/>
  <c r="G17" i="1"/>
  <c r="I72" i="1"/>
  <c r="I80" i="1" s="1"/>
  <c r="G98" i="1"/>
  <c r="I18" i="2"/>
  <c r="I19" i="24"/>
  <c r="I120" i="1"/>
  <c r="G121" i="1"/>
  <c r="I121" i="1" s="1"/>
  <c r="H92" i="25"/>
  <c r="J42" i="25"/>
  <c r="J43" i="25" s="1"/>
  <c r="J35" i="25"/>
  <c r="H35" i="25" s="1"/>
  <c r="F14" i="22" l="1"/>
  <c r="E51" i="29"/>
  <c r="E54" i="29" s="1"/>
  <c r="G9" i="28" s="1"/>
  <c r="H90" i="25"/>
  <c r="J89" i="25"/>
  <c r="H104" i="25"/>
  <c r="J104" i="25" s="1"/>
  <c r="J103" i="25"/>
  <c r="O37" i="34"/>
  <c r="E50" i="30"/>
  <c r="F10" i="28" s="1"/>
  <c r="G10" i="28" s="1"/>
  <c r="L135" i="33"/>
  <c r="P135" i="33" s="1"/>
  <c r="J136" i="33"/>
  <c r="D103" i="25"/>
  <c r="A146" i="1"/>
  <c r="J186" i="33"/>
  <c r="L185" i="33"/>
  <c r="G12" i="25"/>
  <c r="E13" i="25"/>
  <c r="F19" i="31"/>
  <c r="E10" i="30"/>
  <c r="F19" i="27"/>
  <c r="F42" i="28"/>
  <c r="C28" i="30"/>
  <c r="C29" i="30" s="1"/>
  <c r="C32" i="30" s="1"/>
  <c r="E29" i="30"/>
  <c r="E32" i="30" s="1"/>
  <c r="M11" i="25"/>
  <c r="O11" i="25" s="1"/>
  <c r="P38" i="33"/>
  <c r="J13" i="25"/>
  <c r="K12" i="25"/>
  <c r="D42" i="25"/>
  <c r="A76" i="1"/>
  <c r="A78" i="1" s="1"/>
  <c r="A79" i="1" s="1"/>
  <c r="A80" i="1" s="1"/>
  <c r="A81" i="1" s="1"/>
  <c r="A82" i="1" s="1"/>
  <c r="A83" i="1" s="1"/>
  <c r="A84" i="1" s="1"/>
  <c r="A86" i="1" s="1"/>
  <c r="A87" i="1" s="1"/>
  <c r="C83" i="1"/>
  <c r="J40" i="33"/>
  <c r="L39" i="33"/>
  <c r="P39" i="33" s="1"/>
  <c r="J90" i="33"/>
  <c r="L89" i="33"/>
  <c r="J226" i="33"/>
  <c r="L225" i="33"/>
  <c r="A204" i="1"/>
  <c r="D154" i="25"/>
  <c r="H41" i="28"/>
  <c r="J50" i="25"/>
  <c r="J51" i="25" s="1"/>
  <c r="H51" i="25" s="1"/>
  <c r="H58" i="25" s="1"/>
  <c r="J58" i="25" s="1"/>
  <c r="I68" i="1"/>
  <c r="G68" i="1" s="1"/>
  <c r="G148" i="1" s="1"/>
  <c r="J92" i="25"/>
  <c r="H98" i="25"/>
  <c r="J98" i="25" s="1"/>
  <c r="J99" i="25" s="1"/>
  <c r="I19" i="2"/>
  <c r="I20" i="24"/>
  <c r="G137" i="1"/>
  <c r="I137" i="1" s="1"/>
  <c r="I98" i="1"/>
  <c r="G18" i="1"/>
  <c r="I18" i="1" s="1"/>
  <c r="I17" i="1"/>
  <c r="G128" i="1"/>
  <c r="I75" i="1"/>
  <c r="I83" i="1" s="1"/>
  <c r="H106" i="25"/>
  <c r="H70" i="25"/>
  <c r="J70" i="25" s="1"/>
  <c r="G122" i="1"/>
  <c r="I74" i="1"/>
  <c r="I82" i="1" s="1"/>
  <c r="F8" i="31" l="1"/>
  <c r="E8" i="31" s="1"/>
  <c r="F8" i="27"/>
  <c r="E8" i="27" s="1"/>
  <c r="H9" i="32"/>
  <c r="E51" i="30"/>
  <c r="E54" i="30" s="1"/>
  <c r="F9" i="31" s="1"/>
  <c r="F11" i="28"/>
  <c r="F12" i="28" s="1"/>
  <c r="E9" i="29"/>
  <c r="E12" i="29" s="1"/>
  <c r="C50" i="30"/>
  <c r="C51" i="30" s="1"/>
  <c r="C54" i="30" s="1"/>
  <c r="J90" i="25"/>
  <c r="H91" i="25"/>
  <c r="J91" i="25" s="1"/>
  <c r="L136" i="33"/>
  <c r="J137" i="33"/>
  <c r="L90" i="33"/>
  <c r="P90" i="33" s="1"/>
  <c r="J91" i="33"/>
  <c r="L40" i="33"/>
  <c r="P40" i="33" s="1"/>
  <c r="J41" i="33"/>
  <c r="G13" i="25"/>
  <c r="E14" i="25"/>
  <c r="G14" i="25" s="1"/>
  <c r="M12" i="25"/>
  <c r="O12" i="25" s="1"/>
  <c r="D54" i="25"/>
  <c r="A88" i="1"/>
  <c r="F10" i="32"/>
  <c r="H10" i="28"/>
  <c r="H9" i="28"/>
  <c r="J14" i="25"/>
  <c r="K14" i="25" s="1"/>
  <c r="K13" i="25"/>
  <c r="E19" i="27"/>
  <c r="F21" i="27"/>
  <c r="P185" i="33"/>
  <c r="L188" i="33"/>
  <c r="F21" i="31"/>
  <c r="E19" i="31"/>
  <c r="A205" i="1"/>
  <c r="A207" i="1" s="1"/>
  <c r="A208" i="1" s="1"/>
  <c r="A209" i="1" s="1"/>
  <c r="A210" i="1" s="1"/>
  <c r="D155" i="25"/>
  <c r="A147" i="1"/>
  <c r="A148" i="1" s="1"/>
  <c r="D104" i="25"/>
  <c r="P225" i="33"/>
  <c r="E11" i="30"/>
  <c r="F29" i="31"/>
  <c r="F29" i="27"/>
  <c r="J187" i="33"/>
  <c r="L187" i="33" s="1"/>
  <c r="P187" i="33" s="1"/>
  <c r="L186" i="33"/>
  <c r="P186" i="33" s="1"/>
  <c r="L226" i="33"/>
  <c r="P226" i="33" s="1"/>
  <c r="J227" i="33"/>
  <c r="P89" i="33"/>
  <c r="F47" i="28"/>
  <c r="G47" i="28" s="1"/>
  <c r="F46" i="28"/>
  <c r="G46" i="28" s="1"/>
  <c r="F45" i="28"/>
  <c r="G45" i="28" s="1"/>
  <c r="F44" i="28"/>
  <c r="G44" i="28" s="1"/>
  <c r="G42" i="28"/>
  <c r="F43" i="28"/>
  <c r="G43" i="28" s="1"/>
  <c r="F53" i="28"/>
  <c r="G53" i="28" s="1"/>
  <c r="F52" i="28"/>
  <c r="G52" i="28" s="1"/>
  <c r="F51" i="28"/>
  <c r="G51" i="28" s="1"/>
  <c r="F49" i="28"/>
  <c r="G49" i="28" s="1"/>
  <c r="F48" i="28"/>
  <c r="G48" i="28" s="1"/>
  <c r="F50" i="28"/>
  <c r="G50" i="28" s="1"/>
  <c r="H122" i="25"/>
  <c r="J122" i="25" s="1"/>
  <c r="G103" i="1"/>
  <c r="I103" i="1" s="1"/>
  <c r="I19" i="1"/>
  <c r="I34" i="24" s="1"/>
  <c r="I35" i="24" s="1"/>
  <c r="L35" i="24" s="1"/>
  <c r="I84" i="1"/>
  <c r="G84" i="1" s="1"/>
  <c r="G164" i="1" s="1"/>
  <c r="G139" i="1"/>
  <c r="I139" i="1" s="1"/>
  <c r="I128" i="1"/>
  <c r="I76" i="1"/>
  <c r="G123" i="1"/>
  <c r="I122" i="1"/>
  <c r="G138" i="1"/>
  <c r="I148" i="1"/>
  <c r="G151" i="1"/>
  <c r="I151" i="1" s="1"/>
  <c r="G150" i="1"/>
  <c r="I150" i="1" s="1"/>
  <c r="H108" i="25"/>
  <c r="J108" i="25" s="1"/>
  <c r="J106" i="25"/>
  <c r="H109" i="25"/>
  <c r="J109" i="25" s="1"/>
  <c r="J93" i="25" l="1"/>
  <c r="J68" i="25" s="1"/>
  <c r="J71" i="25" s="1"/>
  <c r="F9" i="27"/>
  <c r="E9" i="27" s="1"/>
  <c r="E9" i="30"/>
  <c r="E12" i="30" s="1"/>
  <c r="G11" i="28"/>
  <c r="J138" i="33"/>
  <c r="L137" i="33"/>
  <c r="P137" i="33" s="1"/>
  <c r="P136" i="33"/>
  <c r="M14" i="25"/>
  <c r="O14" i="25" s="1"/>
  <c r="H123" i="25"/>
  <c r="H124" i="25" s="1"/>
  <c r="J124" i="25" s="1"/>
  <c r="F42" i="32"/>
  <c r="H42" i="28"/>
  <c r="G54" i="28"/>
  <c r="H11" i="28"/>
  <c r="F11" i="32"/>
  <c r="B81" i="22"/>
  <c r="D161" i="25"/>
  <c r="A211" i="1"/>
  <c r="E21" i="31"/>
  <c r="E25" i="31" s="1"/>
  <c r="F25" i="31"/>
  <c r="D55" i="25"/>
  <c r="A89" i="1"/>
  <c r="F44" i="32"/>
  <c r="H44" i="28"/>
  <c r="F49" i="32"/>
  <c r="H49" i="28"/>
  <c r="F43" i="32"/>
  <c r="H43" i="28"/>
  <c r="A149" i="1"/>
  <c r="D106" i="25"/>
  <c r="F45" i="32"/>
  <c r="H45" i="28"/>
  <c r="F13" i="28"/>
  <c r="G12" i="28"/>
  <c r="F46" i="32"/>
  <c r="H46" i="28"/>
  <c r="F47" i="32"/>
  <c r="H47" i="28"/>
  <c r="J10" i="32"/>
  <c r="G10" i="32"/>
  <c r="F48" i="32"/>
  <c r="H48" i="28"/>
  <c r="L91" i="33"/>
  <c r="J92" i="33"/>
  <c r="J228" i="33"/>
  <c r="L227" i="33"/>
  <c r="P227" i="33" s="1"/>
  <c r="P188" i="33"/>
  <c r="F192" i="33" s="1"/>
  <c r="E29" i="27"/>
  <c r="E29" i="31"/>
  <c r="F52" i="32"/>
  <c r="H52" i="28"/>
  <c r="E21" i="27"/>
  <c r="E25" i="27" s="1"/>
  <c r="F25" i="27"/>
  <c r="F54" i="28"/>
  <c r="F50" i="32"/>
  <c r="H50" i="28"/>
  <c r="M13" i="25"/>
  <c r="O13" i="25" s="1"/>
  <c r="J42" i="33"/>
  <c r="L41" i="33"/>
  <c r="P41" i="33" s="1"/>
  <c r="F51" i="32"/>
  <c r="H51" i="28"/>
  <c r="F53" i="32"/>
  <c r="H53" i="28"/>
  <c r="E9" i="31"/>
  <c r="I33" i="2"/>
  <c r="I34" i="2" s="1"/>
  <c r="L34" i="2" s="1"/>
  <c r="G33" i="27"/>
  <c r="G35" i="27" s="1"/>
  <c r="G13" i="31"/>
  <c r="G15" i="31" s="1"/>
  <c r="G13" i="27"/>
  <c r="G15" i="27" s="1"/>
  <c r="G33" i="31"/>
  <c r="G35" i="31" s="1"/>
  <c r="H28" i="16"/>
  <c r="H29" i="16" s="1"/>
  <c r="G91" i="1"/>
  <c r="I91" i="1" s="1"/>
  <c r="G23" i="27"/>
  <c r="G25" i="27" s="1"/>
  <c r="G23" i="31"/>
  <c r="G25" i="31" s="1"/>
  <c r="J110" i="25"/>
  <c r="G169" i="25" s="1"/>
  <c r="I123" i="1"/>
  <c r="G124" i="1"/>
  <c r="G145" i="1"/>
  <c r="I138" i="1"/>
  <c r="I164" i="1"/>
  <c r="G165" i="1"/>
  <c r="L138" i="33" l="1"/>
  <c r="J139" i="33"/>
  <c r="L139" i="33" s="1"/>
  <c r="P139" i="33" s="1"/>
  <c r="O15" i="25"/>
  <c r="J123" i="25"/>
  <c r="J50" i="32"/>
  <c r="K50" i="32" s="1"/>
  <c r="G50" i="32"/>
  <c r="H10" i="32"/>
  <c r="J44" i="32"/>
  <c r="K44" i="32" s="1"/>
  <c r="G44" i="32"/>
  <c r="A90" i="1"/>
  <c r="D56" i="25"/>
  <c r="K10" i="32"/>
  <c r="J47" i="32"/>
  <c r="K47" i="32" s="1"/>
  <c r="G47" i="32"/>
  <c r="J52" i="32"/>
  <c r="K52" i="32" s="1"/>
  <c r="G52" i="32"/>
  <c r="J46" i="32"/>
  <c r="K46" i="32" s="1"/>
  <c r="G46" i="32"/>
  <c r="H12" i="28"/>
  <c r="F12" i="32"/>
  <c r="G13" i="28"/>
  <c r="F14" i="28"/>
  <c r="D162" i="25"/>
  <c r="A212" i="1"/>
  <c r="L192" i="33"/>
  <c r="P192" i="33"/>
  <c r="F193" i="33" s="1"/>
  <c r="J43" i="32"/>
  <c r="K43" i="32" s="1"/>
  <c r="G43" i="32"/>
  <c r="J45" i="32"/>
  <c r="K45" i="32" s="1"/>
  <c r="G45" i="32"/>
  <c r="A150" i="1"/>
  <c r="D107" i="25"/>
  <c r="H54" i="28"/>
  <c r="F30" i="27" s="1"/>
  <c r="P91" i="33"/>
  <c r="G53" i="32"/>
  <c r="J53" i="32"/>
  <c r="K53" i="32" s="1"/>
  <c r="I25" i="31"/>
  <c r="J11" i="32"/>
  <c r="K11" i="32" s="1"/>
  <c r="G11" i="32"/>
  <c r="J229" i="33"/>
  <c r="L228" i="33"/>
  <c r="P228" i="33" s="1"/>
  <c r="I25" i="27"/>
  <c r="G44" i="5" s="1"/>
  <c r="D89" i="1" s="1"/>
  <c r="I89" i="1" s="1"/>
  <c r="J51" i="32"/>
  <c r="K51" i="32" s="1"/>
  <c r="G51" i="32"/>
  <c r="L92" i="33"/>
  <c r="P92" i="33" s="1"/>
  <c r="J93" i="33"/>
  <c r="G42" i="32"/>
  <c r="F54" i="32"/>
  <c r="J42" i="32"/>
  <c r="J43" i="33"/>
  <c r="L42" i="33"/>
  <c r="P42" i="33" s="1"/>
  <c r="J49" i="32"/>
  <c r="K49" i="32" s="1"/>
  <c r="G49" i="32"/>
  <c r="J48" i="32"/>
  <c r="K48" i="32" s="1"/>
  <c r="G48" i="32"/>
  <c r="J28" i="16"/>
  <c r="G146" i="1"/>
  <c r="I146" i="1" s="1"/>
  <c r="I145" i="1"/>
  <c r="I165" i="1"/>
  <c r="G166" i="1"/>
  <c r="I166" i="1" s="1"/>
  <c r="I27" i="24"/>
  <c r="I28" i="24" s="1"/>
  <c r="L28" i="24" s="1"/>
  <c r="I26" i="2"/>
  <c r="I27" i="2" s="1"/>
  <c r="L27" i="2" s="1"/>
  <c r="I141" i="1"/>
  <c r="J29" i="16"/>
  <c r="H30" i="16"/>
  <c r="J30" i="16" s="1"/>
  <c r="G125" i="1"/>
  <c r="I124" i="1"/>
  <c r="H11" i="32" l="1"/>
  <c r="P138" i="33"/>
  <c r="P140" i="33" s="1"/>
  <c r="F144" i="33" s="1"/>
  <c r="L140" i="33"/>
  <c r="E56" i="25"/>
  <c r="J56" i="25" s="1"/>
  <c r="J94" i="33"/>
  <c r="L94" i="33" s="1"/>
  <c r="L93" i="33"/>
  <c r="P93" i="33" s="1"/>
  <c r="L52" i="32"/>
  <c r="M52" i="32"/>
  <c r="I152" i="1"/>
  <c r="I30" i="2" s="1"/>
  <c r="I31" i="2" s="1"/>
  <c r="L31" i="2" s="1"/>
  <c r="M51" i="32"/>
  <c r="L51" i="32"/>
  <c r="M43" i="32"/>
  <c r="L43" i="32"/>
  <c r="M47" i="32"/>
  <c r="L47" i="32"/>
  <c r="L193" i="33"/>
  <c r="P193" i="33" s="1"/>
  <c r="D57" i="25"/>
  <c r="A91" i="1"/>
  <c r="A213" i="1"/>
  <c r="A215" i="1" s="1"/>
  <c r="A217" i="1" s="1"/>
  <c r="A218" i="1" s="1"/>
  <c r="A219" i="1" s="1"/>
  <c r="A220" i="1" s="1"/>
  <c r="A222" i="1" s="1"/>
  <c r="D163" i="25"/>
  <c r="L229" i="33"/>
  <c r="P229" i="33" s="1"/>
  <c r="J230" i="33"/>
  <c r="L230" i="33" s="1"/>
  <c r="F15" i="28"/>
  <c r="G14" i="28"/>
  <c r="L44" i="32"/>
  <c r="M44" i="32"/>
  <c r="L45" i="32"/>
  <c r="M45" i="32"/>
  <c r="L10" i="32"/>
  <c r="N10" i="32" s="1"/>
  <c r="M10" i="32"/>
  <c r="M11" i="32"/>
  <c r="L11" i="32"/>
  <c r="H13" i="28"/>
  <c r="F13" i="32"/>
  <c r="M53" i="32"/>
  <c r="L53" i="32"/>
  <c r="L43" i="33"/>
  <c r="P43" i="33" s="1"/>
  <c r="J44" i="33"/>
  <c r="L44" i="33" s="1"/>
  <c r="J54" i="32"/>
  <c r="K42" i="32"/>
  <c r="M48" i="32"/>
  <c r="L48" i="32"/>
  <c r="M49" i="32"/>
  <c r="L49" i="32"/>
  <c r="L50" i="32"/>
  <c r="M50" i="32"/>
  <c r="J12" i="32"/>
  <c r="G12" i="32"/>
  <c r="M46" i="32"/>
  <c r="L46" i="32"/>
  <c r="E30" i="27"/>
  <c r="F31" i="27"/>
  <c r="G54" i="32"/>
  <c r="H42" i="32"/>
  <c r="H43" i="32" s="1"/>
  <c r="H44" i="32" s="1"/>
  <c r="H45" i="32" s="1"/>
  <c r="H46" i="32" s="1"/>
  <c r="H47" i="32" s="1"/>
  <c r="H48" i="32" s="1"/>
  <c r="H49" i="32" s="1"/>
  <c r="H50" i="32" s="1"/>
  <c r="H51" i="32" s="1"/>
  <c r="H52" i="32" s="1"/>
  <c r="H53" i="32" s="1"/>
  <c r="D108" i="25"/>
  <c r="A151" i="1"/>
  <c r="G127" i="1"/>
  <c r="I127" i="1" s="1"/>
  <c r="I125" i="1"/>
  <c r="H12" i="32" l="1"/>
  <c r="N11" i="32"/>
  <c r="L144" i="33"/>
  <c r="P144" i="33" s="1"/>
  <c r="F145" i="33" s="1"/>
  <c r="L145" i="33" s="1"/>
  <c r="P145" i="33" s="1"/>
  <c r="F146" i="33" s="1"/>
  <c r="L146" i="33" s="1"/>
  <c r="P146" i="33" s="1"/>
  <c r="I31" i="24"/>
  <c r="I32" i="24" s="1"/>
  <c r="L32" i="24" s="1"/>
  <c r="F35" i="27"/>
  <c r="I35" i="27" s="1"/>
  <c r="H44" i="5" s="1"/>
  <c r="D90" i="1" s="1"/>
  <c r="E31" i="27"/>
  <c r="E35" i="27" s="1"/>
  <c r="K54" i="32"/>
  <c r="L42" i="32"/>
  <c r="M42" i="32"/>
  <c r="M54" i="32" s="1"/>
  <c r="H14" i="28"/>
  <c r="F14" i="32"/>
  <c r="P44" i="33"/>
  <c r="P45" i="33" s="1"/>
  <c r="F49" i="33" s="1"/>
  <c r="L45" i="33"/>
  <c r="G15" i="28"/>
  <c r="F16" i="28"/>
  <c r="K12" i="32"/>
  <c r="P94" i="33"/>
  <c r="P95" i="33" s="1"/>
  <c r="F99" i="33" s="1"/>
  <c r="L95" i="33"/>
  <c r="A224" i="1"/>
  <c r="A225" i="1" s="1"/>
  <c r="A226" i="1" s="1"/>
  <c r="A227" i="1" s="1"/>
  <c r="C15" i="1" s="1"/>
  <c r="C14" i="1"/>
  <c r="A93" i="1"/>
  <c r="D58" i="25"/>
  <c r="N197" i="33"/>
  <c r="F197" i="33"/>
  <c r="P230" i="33"/>
  <c r="P231" i="33" s="1"/>
  <c r="F235" i="33" s="1"/>
  <c r="L231" i="33"/>
  <c r="J13" i="32"/>
  <c r="K13" i="32" s="1"/>
  <c r="G13" i="32"/>
  <c r="H13" i="32" s="1"/>
  <c r="A152" i="1"/>
  <c r="A154" i="1" s="1"/>
  <c r="A155" i="1" s="1"/>
  <c r="D109" i="25"/>
  <c r="I134" i="1"/>
  <c r="I101" i="1" s="1"/>
  <c r="I104" i="1" s="1"/>
  <c r="N150" i="33" l="1"/>
  <c r="F150" i="33"/>
  <c r="F17" i="28"/>
  <c r="G16" i="28"/>
  <c r="L49" i="33"/>
  <c r="P49" i="33" s="1"/>
  <c r="F50" i="33" s="1"/>
  <c r="D113" i="25"/>
  <c r="B159" i="1"/>
  <c r="A156" i="1"/>
  <c r="L12" i="32"/>
  <c r="N12" i="32" s="1"/>
  <c r="M12" i="32"/>
  <c r="L197" i="33"/>
  <c r="P197" i="33"/>
  <c r="F198" i="33" s="1"/>
  <c r="A94" i="1"/>
  <c r="D60" i="25"/>
  <c r="F15" i="32"/>
  <c r="H15" i="28"/>
  <c r="N198" i="33"/>
  <c r="N199" i="33" s="1"/>
  <c r="N200" i="33" s="1"/>
  <c r="N201" i="33" s="1"/>
  <c r="N202" i="33" s="1"/>
  <c r="N203" i="33" s="1"/>
  <c r="N204" i="33" s="1"/>
  <c r="N205" i="33" s="1"/>
  <c r="N206" i="33" s="1"/>
  <c r="N207" i="33" s="1"/>
  <c r="N208" i="33" s="1"/>
  <c r="G14" i="32"/>
  <c r="H14" i="32" s="1"/>
  <c r="J14" i="32"/>
  <c r="K14" i="32" s="1"/>
  <c r="L99" i="33"/>
  <c r="P99" i="33"/>
  <c r="F100" i="33" s="1"/>
  <c r="M13" i="32"/>
  <c r="L13" i="32"/>
  <c r="L235" i="33"/>
  <c r="P235" i="33" s="1"/>
  <c r="L54" i="32"/>
  <c r="N42" i="32"/>
  <c r="N43" i="32" s="1"/>
  <c r="N44" i="32" s="1"/>
  <c r="N45" i="32" s="1"/>
  <c r="N46" i="32" s="1"/>
  <c r="N47" i="32" s="1"/>
  <c r="N48" i="32" s="1"/>
  <c r="N49" i="32" s="1"/>
  <c r="N50" i="32" s="1"/>
  <c r="N51" i="32" s="1"/>
  <c r="N52" i="32" s="1"/>
  <c r="N53" i="32" s="1"/>
  <c r="F30" i="31" s="1"/>
  <c r="E57" i="25"/>
  <c r="J57" i="25" s="1"/>
  <c r="I90" i="1"/>
  <c r="I23" i="24"/>
  <c r="I24" i="24" s="1"/>
  <c r="L24" i="24" s="1"/>
  <c r="L37" i="24" s="1"/>
  <c r="E71" i="24" s="1"/>
  <c r="F71" i="24" s="1"/>
  <c r="I22" i="2"/>
  <c r="I23" i="2" s="1"/>
  <c r="L23" i="2" s="1"/>
  <c r="L36" i="2" s="1"/>
  <c r="F80" i="2" s="1"/>
  <c r="G80" i="2" s="1"/>
  <c r="L150" i="33" l="1"/>
  <c r="P150" i="33"/>
  <c r="F151" i="33" s="1"/>
  <c r="N211" i="33"/>
  <c r="N151" i="33"/>
  <c r="N152" i="33" s="1"/>
  <c r="N153" i="33" s="1"/>
  <c r="N154" i="33" s="1"/>
  <c r="N155" i="33" s="1"/>
  <c r="N156" i="33" s="1"/>
  <c r="N157" i="33" s="1"/>
  <c r="N158" i="33" s="1"/>
  <c r="N159" i="33" s="1"/>
  <c r="N160" i="33" s="1"/>
  <c r="N161" i="33" s="1"/>
  <c r="N239" i="33"/>
  <c r="F239" i="33"/>
  <c r="J15" i="32"/>
  <c r="K15" i="32" s="1"/>
  <c r="G15" i="32"/>
  <c r="E30" i="31"/>
  <c r="F31" i="31"/>
  <c r="L100" i="33"/>
  <c r="P100" i="33" s="1"/>
  <c r="F101" i="33" s="1"/>
  <c r="N13" i="32"/>
  <c r="A95" i="1"/>
  <c r="D61" i="25"/>
  <c r="P198" i="33"/>
  <c r="F199" i="33" s="1"/>
  <c r="L198" i="33"/>
  <c r="A157" i="1"/>
  <c r="D114" i="25"/>
  <c r="M14" i="32"/>
  <c r="L14" i="32"/>
  <c r="L50" i="33"/>
  <c r="P50" i="33" s="1"/>
  <c r="F51" i="33" s="1"/>
  <c r="P13" i="33"/>
  <c r="N213" i="33"/>
  <c r="F16" i="32"/>
  <c r="H16" i="28"/>
  <c r="G17" i="28"/>
  <c r="F18" i="28"/>
  <c r="E74" i="24"/>
  <c r="F74" i="24" s="1"/>
  <c r="E84" i="24"/>
  <c r="F84" i="24" s="1"/>
  <c r="E69" i="24"/>
  <c r="F69" i="24" s="1"/>
  <c r="E83" i="24"/>
  <c r="F83" i="24" s="1"/>
  <c r="E77" i="24"/>
  <c r="F77" i="24" s="1"/>
  <c r="E68" i="24"/>
  <c r="F68" i="24" s="1"/>
  <c r="E78" i="24"/>
  <c r="F78" i="24" s="1"/>
  <c r="E79" i="24"/>
  <c r="F79" i="24" s="1"/>
  <c r="E85" i="24"/>
  <c r="F85" i="24" s="1"/>
  <c r="E82" i="24"/>
  <c r="F82" i="24" s="1"/>
  <c r="E76" i="24"/>
  <c r="F76" i="24" s="1"/>
  <c r="E73" i="24"/>
  <c r="F73" i="24" s="1"/>
  <c r="F88" i="2"/>
  <c r="G88" i="2" s="1"/>
  <c r="F87" i="2"/>
  <c r="G87" i="2" s="1"/>
  <c r="F69" i="2"/>
  <c r="G69" i="2" s="1"/>
  <c r="F79" i="2"/>
  <c r="G79" i="2" s="1"/>
  <c r="F74" i="2"/>
  <c r="G74" i="2" s="1"/>
  <c r="F71" i="2"/>
  <c r="G71" i="2" s="1"/>
  <c r="F75" i="2"/>
  <c r="G75" i="2" s="1"/>
  <c r="F68" i="2"/>
  <c r="G68" i="2" s="1"/>
  <c r="F66" i="2"/>
  <c r="G66" i="2" s="1"/>
  <c r="F76" i="2"/>
  <c r="G76" i="2" s="1"/>
  <c r="F82" i="2"/>
  <c r="G82" i="2" s="1"/>
  <c r="F67" i="2"/>
  <c r="G67" i="2" s="1"/>
  <c r="F81" i="2"/>
  <c r="G81" i="2" s="1"/>
  <c r="F83" i="2"/>
  <c r="G83" i="2" s="1"/>
  <c r="F77" i="2"/>
  <c r="G77" i="2" s="1"/>
  <c r="F72" i="2"/>
  <c r="G72" i="2" s="1"/>
  <c r="F73" i="2"/>
  <c r="G73" i="2" s="1"/>
  <c r="F84" i="2"/>
  <c r="G84" i="2" s="1"/>
  <c r="F86" i="2"/>
  <c r="G86" i="2" s="1"/>
  <c r="F78" i="2"/>
  <c r="G78" i="2" s="1"/>
  <c r="F70" i="2"/>
  <c r="G70" i="2" s="1"/>
  <c r="E70" i="24"/>
  <c r="F70" i="24" s="1"/>
  <c r="E81" i="24"/>
  <c r="F81" i="24" s="1"/>
  <c r="F85" i="2"/>
  <c r="G85" i="2" s="1"/>
  <c r="E80" i="24"/>
  <c r="F80" i="24" s="1"/>
  <c r="E67" i="24"/>
  <c r="F67" i="24" s="1"/>
  <c r="E75" i="24"/>
  <c r="F75" i="24" s="1"/>
  <c r="E72" i="24"/>
  <c r="F72" i="24" s="1"/>
  <c r="N14" i="32" l="1"/>
  <c r="N164" i="33"/>
  <c r="G90" i="2"/>
  <c r="P12" i="33"/>
  <c r="N166" i="33"/>
  <c r="L151" i="33"/>
  <c r="P151" i="33"/>
  <c r="F152" i="33" s="1"/>
  <c r="P199" i="33"/>
  <c r="F200" i="33" s="1"/>
  <c r="L199" i="33"/>
  <c r="F17" i="32"/>
  <c r="H17" i="28"/>
  <c r="D62" i="25"/>
  <c r="A96" i="1"/>
  <c r="A98" i="1" s="1"/>
  <c r="A100" i="1" s="1"/>
  <c r="A101" i="1" s="1"/>
  <c r="A102" i="1" s="1"/>
  <c r="A103" i="1" s="1"/>
  <c r="D115" i="25"/>
  <c r="A158" i="1"/>
  <c r="A159" i="1" s="1"/>
  <c r="A160" i="1" s="1"/>
  <c r="G16" i="32"/>
  <c r="J16" i="32"/>
  <c r="L101" i="33"/>
  <c r="P101" i="33" s="1"/>
  <c r="F102" i="33" s="1"/>
  <c r="G18" i="28"/>
  <c r="F19" i="28"/>
  <c r="H15" i="32"/>
  <c r="M15" i="32"/>
  <c r="L15" i="32"/>
  <c r="P239" i="33"/>
  <c r="F240" i="33" s="1"/>
  <c r="L239" i="33"/>
  <c r="L51" i="33"/>
  <c r="P51" i="33" s="1"/>
  <c r="F52" i="33" s="1"/>
  <c r="N240" i="33"/>
  <c r="N241" i="33" s="1"/>
  <c r="N242" i="33" s="1"/>
  <c r="N243" i="33" s="1"/>
  <c r="N244" i="33" s="1"/>
  <c r="N245" i="33" s="1"/>
  <c r="N246" i="33" s="1"/>
  <c r="N247" i="33" s="1"/>
  <c r="N248" i="33" s="1"/>
  <c r="N249" i="33" s="1"/>
  <c r="N250" i="33" s="1"/>
  <c r="F35" i="31"/>
  <c r="I35" i="31" s="1"/>
  <c r="E31" i="31"/>
  <c r="E35" i="31" s="1"/>
  <c r="N15" i="32" l="1"/>
  <c r="H16" i="32"/>
  <c r="P152" i="33"/>
  <c r="F153" i="33" s="1"/>
  <c r="L152" i="33"/>
  <c r="L102" i="33"/>
  <c r="P102" i="33"/>
  <c r="D70" i="25"/>
  <c r="A104" i="1"/>
  <c r="A106" i="1" s="1"/>
  <c r="J17" i="32"/>
  <c r="K17" i="32" s="1"/>
  <c r="G17" i="32"/>
  <c r="H17" i="32" s="1"/>
  <c r="P200" i="33"/>
  <c r="F201" i="33" s="1"/>
  <c r="L200" i="33"/>
  <c r="F18" i="32"/>
  <c r="H18" i="28"/>
  <c r="N253" i="33"/>
  <c r="A161" i="1"/>
  <c r="D118" i="25"/>
  <c r="L240" i="33"/>
  <c r="P240" i="33"/>
  <c r="F241" i="33" s="1"/>
  <c r="K16" i="32"/>
  <c r="L52" i="33"/>
  <c r="P52" i="33" s="1"/>
  <c r="F53" i="33" s="1"/>
  <c r="F20" i="28"/>
  <c r="G19" i="28"/>
  <c r="L153" i="33" l="1"/>
  <c r="P153" i="33"/>
  <c r="F154" i="33" s="1"/>
  <c r="P14" i="33"/>
  <c r="N255" i="33"/>
  <c r="A162" i="1"/>
  <c r="D119" i="25"/>
  <c r="H19" i="28"/>
  <c r="F19" i="32"/>
  <c r="M16" i="32"/>
  <c r="L16" i="32"/>
  <c r="N16" i="32" s="1"/>
  <c r="N17" i="32" s="1"/>
  <c r="F106" i="33"/>
  <c r="N106" i="33"/>
  <c r="J18" i="32"/>
  <c r="K18" i="32" s="1"/>
  <c r="G18" i="32"/>
  <c r="H18" i="32" s="1"/>
  <c r="L201" i="33"/>
  <c r="P201" i="33"/>
  <c r="F202" i="33" s="1"/>
  <c r="L53" i="33"/>
  <c r="P53" i="33" s="1"/>
  <c r="F21" i="28"/>
  <c r="G20" i="28"/>
  <c r="L17" i="32"/>
  <c r="M17" i="32"/>
  <c r="P241" i="33"/>
  <c r="F242" i="33" s="1"/>
  <c r="L241" i="33"/>
  <c r="P154" i="33" l="1"/>
  <c r="F155" i="33" s="1"/>
  <c r="L154" i="33"/>
  <c r="L106" i="33"/>
  <c r="P106" i="33"/>
  <c r="F107" i="33" s="1"/>
  <c r="L18" i="32"/>
  <c r="M18" i="32"/>
  <c r="L242" i="33"/>
  <c r="P242" i="33"/>
  <c r="F243" i="33" s="1"/>
  <c r="N107" i="33"/>
  <c r="N108" i="33" s="1"/>
  <c r="N109" i="33" s="1"/>
  <c r="N110" i="33" s="1"/>
  <c r="N111" i="33" s="1"/>
  <c r="N112" i="33" s="1"/>
  <c r="N113" i="33" s="1"/>
  <c r="N114" i="33" s="1"/>
  <c r="N115" i="33" s="1"/>
  <c r="N116" i="33" s="1"/>
  <c r="N117" i="33" s="1"/>
  <c r="N120" i="33" s="1"/>
  <c r="J19" i="32"/>
  <c r="K19" i="32" s="1"/>
  <c r="G19" i="32"/>
  <c r="H19" i="32" s="1"/>
  <c r="G21" i="28"/>
  <c r="F22" i="28"/>
  <c r="N18" i="32"/>
  <c r="H20" i="28"/>
  <c r="F20" i="32"/>
  <c r="F57" i="33"/>
  <c r="N57" i="33"/>
  <c r="A163" i="1"/>
  <c r="A164" i="1" s="1"/>
  <c r="A165" i="1" s="1"/>
  <c r="A166" i="1" s="1"/>
  <c r="A167" i="1" s="1"/>
  <c r="A169" i="1" s="1"/>
  <c r="A170" i="1" s="1"/>
  <c r="A172" i="1" s="1"/>
  <c r="D120" i="25"/>
  <c r="P202" i="33"/>
  <c r="F203" i="33" s="1"/>
  <c r="L202" i="33"/>
  <c r="P155" i="33" l="1"/>
  <c r="F156" i="33" s="1"/>
  <c r="L155" i="33"/>
  <c r="P11" i="33"/>
  <c r="N122" i="33"/>
  <c r="H21" i="28"/>
  <c r="H22" i="28" s="1"/>
  <c r="F10" i="27" s="1"/>
  <c r="F21" i="32"/>
  <c r="G22" i="28"/>
  <c r="L19" i="32"/>
  <c r="N19" i="32" s="1"/>
  <c r="M19" i="32"/>
  <c r="P203" i="33"/>
  <c r="F204" i="33" s="1"/>
  <c r="L203" i="33"/>
  <c r="L243" i="33"/>
  <c r="P243" i="33"/>
  <c r="F244" i="33" s="1"/>
  <c r="J20" i="32"/>
  <c r="K20" i="32" s="1"/>
  <c r="G20" i="32"/>
  <c r="H20" i="32" s="1"/>
  <c r="N58" i="33"/>
  <c r="N59" i="33" s="1"/>
  <c r="N60" i="33" s="1"/>
  <c r="N61" i="33" s="1"/>
  <c r="N62" i="33" s="1"/>
  <c r="N63" i="33" s="1"/>
  <c r="N64" i="33" s="1"/>
  <c r="N65" i="33" s="1"/>
  <c r="N66" i="33" s="1"/>
  <c r="N67" i="33" s="1"/>
  <c r="N68" i="33" s="1"/>
  <c r="P57" i="33"/>
  <c r="F58" i="33" s="1"/>
  <c r="L57" i="33"/>
  <c r="P107" i="33"/>
  <c r="F108" i="33" s="1"/>
  <c r="L107" i="33"/>
  <c r="P156" i="33" l="1"/>
  <c r="F157" i="33" s="1"/>
  <c r="L156" i="33"/>
  <c r="P204" i="33"/>
  <c r="F205" i="33" s="1"/>
  <c r="L204" i="33"/>
  <c r="P244" i="33"/>
  <c r="F245" i="33" s="1"/>
  <c r="L244" i="33"/>
  <c r="E10" i="27"/>
  <c r="F11" i="27"/>
  <c r="N71" i="33"/>
  <c r="L20" i="32"/>
  <c r="N20" i="32" s="1"/>
  <c r="M20" i="32"/>
  <c r="J21" i="32"/>
  <c r="G21" i="32"/>
  <c r="F22" i="32"/>
  <c r="P108" i="33"/>
  <c r="F109" i="33" s="1"/>
  <c r="L108" i="33"/>
  <c r="P58" i="33"/>
  <c r="F59" i="33" s="1"/>
  <c r="L58" i="33"/>
  <c r="L157" i="33" l="1"/>
  <c r="P157" i="33"/>
  <c r="F158" i="33" s="1"/>
  <c r="L109" i="33"/>
  <c r="P109" i="33"/>
  <c r="F110" i="33" s="1"/>
  <c r="H21" i="32"/>
  <c r="G22" i="32"/>
  <c r="K21" i="32"/>
  <c r="J22" i="32"/>
  <c r="N73" i="33"/>
  <c r="P10" i="33"/>
  <c r="P16" i="33" s="1"/>
  <c r="F15" i="27"/>
  <c r="I15" i="27" s="1"/>
  <c r="F44" i="5" s="1"/>
  <c r="D88" i="1" s="1"/>
  <c r="E11" i="27"/>
  <c r="E15" i="27" s="1"/>
  <c r="P245" i="33"/>
  <c r="F246" i="33" s="1"/>
  <c r="L245" i="33"/>
  <c r="L205" i="33"/>
  <c r="P205" i="33"/>
  <c r="F206" i="33" s="1"/>
  <c r="P59" i="33"/>
  <c r="F60" i="33" s="1"/>
  <c r="L59" i="33"/>
  <c r="P158" i="33" l="1"/>
  <c r="F159" i="33" s="1"/>
  <c r="L158" i="33"/>
  <c r="E55" i="25"/>
  <c r="D96" i="1"/>
  <c r="D106" i="1" s="1"/>
  <c r="D170" i="1" s="1"/>
  <c r="D163" i="1" s="1"/>
  <c r="I88" i="1"/>
  <c r="I96" i="1" s="1"/>
  <c r="I106" i="1" s="1"/>
  <c r="P206" i="33"/>
  <c r="F207" i="33" s="1"/>
  <c r="L206" i="33"/>
  <c r="P246" i="33"/>
  <c r="F247" i="33" s="1"/>
  <c r="L246" i="33"/>
  <c r="L21" i="32"/>
  <c r="L22" i="32" s="1"/>
  <c r="M21" i="32"/>
  <c r="M22" i="32" s="1"/>
  <c r="K22" i="32"/>
  <c r="L110" i="33"/>
  <c r="P110" i="33"/>
  <c r="F111" i="33" s="1"/>
  <c r="L60" i="33"/>
  <c r="P60" i="33"/>
  <c r="F61" i="33" s="1"/>
  <c r="N21" i="32" l="1"/>
  <c r="F10" i="31" s="1"/>
  <c r="P159" i="33"/>
  <c r="F160" i="33" s="1"/>
  <c r="L159" i="33"/>
  <c r="E10" i="31"/>
  <c r="F11" i="31"/>
  <c r="P111" i="33"/>
  <c r="F112" i="33" s="1"/>
  <c r="L111" i="33"/>
  <c r="L61" i="33"/>
  <c r="P61" i="33"/>
  <c r="F62" i="33" s="1"/>
  <c r="P247" i="33"/>
  <c r="F248" i="33" s="1"/>
  <c r="L247" i="33"/>
  <c r="L207" i="33"/>
  <c r="P207" i="33"/>
  <c r="F208" i="33" s="1"/>
  <c r="K7" i="16"/>
  <c r="I170" i="1"/>
  <c r="D167" i="1"/>
  <c r="D172" i="1" s="1"/>
  <c r="I163" i="1"/>
  <c r="I167" i="1" s="1"/>
  <c r="E27" i="16"/>
  <c r="J55" i="25"/>
  <c r="J63" i="25" s="1"/>
  <c r="J73" i="25" s="1"/>
  <c r="J128" i="25" s="1"/>
  <c r="E63" i="25"/>
  <c r="E73" i="25" s="1"/>
  <c r="E128" i="25" s="1"/>
  <c r="E121" i="25" s="1"/>
  <c r="E125" i="25" s="1"/>
  <c r="E130" i="25" s="1"/>
  <c r="L160" i="33" l="1"/>
  <c r="P160" i="33"/>
  <c r="F161" i="33" s="1"/>
  <c r="I40" i="24"/>
  <c r="I41" i="24" s="1"/>
  <c r="L41" i="24" s="1"/>
  <c r="K36" i="16"/>
  <c r="I39" i="2"/>
  <c r="I40" i="2" s="1"/>
  <c r="L40" i="2" s="1"/>
  <c r="I43" i="2"/>
  <c r="I44" i="2" s="1"/>
  <c r="I44" i="24"/>
  <c r="I45" i="24" s="1"/>
  <c r="K35" i="16"/>
  <c r="I172" i="1"/>
  <c r="I11" i="1" s="1"/>
  <c r="I21" i="1" s="1"/>
  <c r="I25" i="1" s="1"/>
  <c r="P208" i="33"/>
  <c r="L208" i="33"/>
  <c r="L209" i="33" s="1"/>
  <c r="L248" i="33"/>
  <c r="P248" i="33"/>
  <c r="F249" i="33" s="1"/>
  <c r="P62" i="33"/>
  <c r="F63" i="33" s="1"/>
  <c r="L62" i="33"/>
  <c r="L112" i="33"/>
  <c r="P112" i="33"/>
  <c r="F113" i="33" s="1"/>
  <c r="J121" i="25"/>
  <c r="J125" i="25" s="1"/>
  <c r="G172" i="25" s="1"/>
  <c r="K39" i="16"/>
  <c r="K16" i="16"/>
  <c r="F15" i="31"/>
  <c r="I15" i="31" s="1"/>
  <c r="E11" i="31"/>
  <c r="E15" i="31" s="1"/>
  <c r="J27" i="16"/>
  <c r="J31" i="16" s="1"/>
  <c r="K31" i="16" s="1"/>
  <c r="E31" i="16"/>
  <c r="L161" i="33" l="1"/>
  <c r="L162" i="33" s="1"/>
  <c r="P161" i="33"/>
  <c r="K37" i="16"/>
  <c r="J130" i="25"/>
  <c r="P113" i="33"/>
  <c r="F114" i="33" s="1"/>
  <c r="L113" i="33"/>
  <c r="L249" i="33"/>
  <c r="P249" i="33"/>
  <c r="F250" i="33" s="1"/>
  <c r="L44" i="2"/>
  <c r="L46" i="2" s="1"/>
  <c r="I46" i="2"/>
  <c r="L63" i="33"/>
  <c r="P63" i="33"/>
  <c r="F64" i="33" s="1"/>
  <c r="L45" i="24"/>
  <c r="L47" i="24" s="1"/>
  <c r="I47" i="24"/>
  <c r="K33" i="16"/>
  <c r="K38" i="16" l="1"/>
  <c r="K40" i="16" s="1"/>
  <c r="N88" i="2" s="1"/>
  <c r="H78" i="24"/>
  <c r="I78" i="24" s="1"/>
  <c r="K78" i="24" s="1"/>
  <c r="M78" i="24" s="1"/>
  <c r="H81" i="24"/>
  <c r="I81" i="24" s="1"/>
  <c r="K81" i="24" s="1"/>
  <c r="M81" i="24" s="1"/>
  <c r="H70" i="24"/>
  <c r="I70" i="24" s="1"/>
  <c r="K70" i="24" s="1"/>
  <c r="M70" i="24" s="1"/>
  <c r="H74" i="24"/>
  <c r="I74" i="24" s="1"/>
  <c r="K74" i="24" s="1"/>
  <c r="M74" i="24" s="1"/>
  <c r="H79" i="24"/>
  <c r="I79" i="24" s="1"/>
  <c r="K79" i="24" s="1"/>
  <c r="M79" i="24" s="1"/>
  <c r="H76" i="24"/>
  <c r="I76" i="24" s="1"/>
  <c r="K76" i="24" s="1"/>
  <c r="M76" i="24" s="1"/>
  <c r="H72" i="24"/>
  <c r="I72" i="24" s="1"/>
  <c r="K72" i="24" s="1"/>
  <c r="M72" i="24" s="1"/>
  <c r="H85" i="24"/>
  <c r="I85" i="24" s="1"/>
  <c r="K85" i="24" s="1"/>
  <c r="M85" i="24" s="1"/>
  <c r="H73" i="24"/>
  <c r="I73" i="24" s="1"/>
  <c r="K73" i="24" s="1"/>
  <c r="M73" i="24" s="1"/>
  <c r="H83" i="24"/>
  <c r="I83" i="24" s="1"/>
  <c r="K83" i="24" s="1"/>
  <c r="M83" i="24" s="1"/>
  <c r="H71" i="24"/>
  <c r="I71" i="24" s="1"/>
  <c r="K71" i="24" s="1"/>
  <c r="M71" i="24" s="1"/>
  <c r="H77" i="24"/>
  <c r="I77" i="24" s="1"/>
  <c r="K77" i="24" s="1"/>
  <c r="M77" i="24" s="1"/>
  <c r="H82" i="24"/>
  <c r="I82" i="24" s="1"/>
  <c r="K82" i="24" s="1"/>
  <c r="M82" i="24" s="1"/>
  <c r="H84" i="24"/>
  <c r="I84" i="24" s="1"/>
  <c r="K84" i="24" s="1"/>
  <c r="M84" i="24" s="1"/>
  <c r="H75" i="24"/>
  <c r="I75" i="24" s="1"/>
  <c r="K75" i="24" s="1"/>
  <c r="M75" i="24" s="1"/>
  <c r="H69" i="24"/>
  <c r="I69" i="24" s="1"/>
  <c r="K69" i="24" s="1"/>
  <c r="M69" i="24" s="1"/>
  <c r="H67" i="24"/>
  <c r="I67" i="24" s="1"/>
  <c r="K67" i="24" s="1"/>
  <c r="M67" i="24" s="1"/>
  <c r="H80" i="24"/>
  <c r="I80" i="24" s="1"/>
  <c r="K80" i="24" s="1"/>
  <c r="M80" i="24" s="1"/>
  <c r="H68" i="24"/>
  <c r="I68" i="24" s="1"/>
  <c r="K68" i="24" s="1"/>
  <c r="M68" i="24" s="1"/>
  <c r="L250" i="33"/>
  <c r="L251" i="33" s="1"/>
  <c r="P250" i="33"/>
  <c r="L64" i="33"/>
  <c r="P64" i="33"/>
  <c r="F65" i="33" s="1"/>
  <c r="I66" i="2"/>
  <c r="J66" i="2" s="1"/>
  <c r="I84" i="2"/>
  <c r="J84" i="2" s="1"/>
  <c r="L84" i="2" s="1"/>
  <c r="I68" i="2"/>
  <c r="J68" i="2" s="1"/>
  <c r="L68" i="2" s="1"/>
  <c r="I69" i="2"/>
  <c r="J69" i="2" s="1"/>
  <c r="L69" i="2" s="1"/>
  <c r="I79" i="2"/>
  <c r="J79" i="2" s="1"/>
  <c r="L79" i="2" s="1"/>
  <c r="I87" i="2"/>
  <c r="J87" i="2" s="1"/>
  <c r="L87" i="2" s="1"/>
  <c r="I72" i="2"/>
  <c r="J72" i="2" s="1"/>
  <c r="L72" i="2" s="1"/>
  <c r="I88" i="2"/>
  <c r="J88" i="2" s="1"/>
  <c r="L88" i="2" s="1"/>
  <c r="I78" i="2"/>
  <c r="J78" i="2" s="1"/>
  <c r="L78" i="2" s="1"/>
  <c r="I75" i="2"/>
  <c r="J75" i="2" s="1"/>
  <c r="L75" i="2" s="1"/>
  <c r="I86" i="2"/>
  <c r="J86" i="2" s="1"/>
  <c r="L86" i="2" s="1"/>
  <c r="I67" i="2"/>
  <c r="J67" i="2" s="1"/>
  <c r="L67" i="2" s="1"/>
  <c r="I77" i="2"/>
  <c r="J77" i="2" s="1"/>
  <c r="L77" i="2" s="1"/>
  <c r="I74" i="2"/>
  <c r="J74" i="2" s="1"/>
  <c r="L74" i="2" s="1"/>
  <c r="I81" i="2"/>
  <c r="J81" i="2" s="1"/>
  <c r="L81" i="2" s="1"/>
  <c r="I82" i="2"/>
  <c r="J82" i="2" s="1"/>
  <c r="L82" i="2" s="1"/>
  <c r="I71" i="2"/>
  <c r="J71" i="2" s="1"/>
  <c r="L71" i="2" s="1"/>
  <c r="I85" i="2"/>
  <c r="J85" i="2" s="1"/>
  <c r="L85" i="2" s="1"/>
  <c r="I80" i="2"/>
  <c r="J80" i="2" s="1"/>
  <c r="L80" i="2" s="1"/>
  <c r="I83" i="2"/>
  <c r="J83" i="2" s="1"/>
  <c r="L83" i="2" s="1"/>
  <c r="I70" i="2"/>
  <c r="J70" i="2" s="1"/>
  <c r="L70" i="2" s="1"/>
  <c r="I76" i="2"/>
  <c r="J76" i="2" s="1"/>
  <c r="L76" i="2" s="1"/>
  <c r="I73" i="2"/>
  <c r="J73" i="2" s="1"/>
  <c r="L73" i="2" s="1"/>
  <c r="P114" i="33"/>
  <c r="F115" i="33" s="1"/>
  <c r="L114" i="33"/>
  <c r="N81" i="2" l="1"/>
  <c r="N70" i="2"/>
  <c r="O70" i="2" s="1"/>
  <c r="N77" i="2"/>
  <c r="N74" i="2"/>
  <c r="O74" i="2" s="1"/>
  <c r="N69" i="2"/>
  <c r="O69" i="2" s="1"/>
  <c r="N72" i="2"/>
  <c r="N79" i="2"/>
  <c r="O79" i="2" s="1"/>
  <c r="N87" i="2"/>
  <c r="O87" i="2" s="1"/>
  <c r="N71" i="2"/>
  <c r="O71" i="2" s="1"/>
  <c r="N67" i="2"/>
  <c r="O67" i="2" s="1"/>
  <c r="N75" i="2"/>
  <c r="Q75" i="2" s="1"/>
  <c r="N83" i="2"/>
  <c r="Q83" i="2" s="1"/>
  <c r="N80" i="2"/>
  <c r="Q80" i="2" s="1"/>
  <c r="N76" i="2"/>
  <c r="Q76" i="2" s="1"/>
  <c r="N66" i="2"/>
  <c r="N85" i="2"/>
  <c r="O85" i="2" s="1"/>
  <c r="N82" i="2"/>
  <c r="Q82" i="2" s="1"/>
  <c r="N73" i="2"/>
  <c r="Q73" i="2" s="1"/>
  <c r="N84" i="2"/>
  <c r="Q84" i="2" s="1"/>
  <c r="N86" i="2"/>
  <c r="Q86" i="2" s="1"/>
  <c r="N78" i="2"/>
  <c r="Q78" i="2" s="1"/>
  <c r="N68" i="2"/>
  <c r="Q68" i="2" s="1"/>
  <c r="S68" i="2" s="1"/>
  <c r="L115" i="33"/>
  <c r="P115" i="33"/>
  <c r="F116" i="33" s="1"/>
  <c r="S71" i="2"/>
  <c r="S84" i="2"/>
  <c r="S72" i="2"/>
  <c r="Q72" i="2"/>
  <c r="O72" i="2"/>
  <c r="S87" i="2"/>
  <c r="S83" i="2"/>
  <c r="Q88" i="2"/>
  <c r="O88" i="2"/>
  <c r="S88" i="2"/>
  <c r="S79" i="2"/>
  <c r="S80" i="2"/>
  <c r="J90" i="2"/>
  <c r="L66" i="2"/>
  <c r="P65" i="33"/>
  <c r="F66" i="33" s="1"/>
  <c r="L65" i="33"/>
  <c r="S82" i="2"/>
  <c r="S81" i="2"/>
  <c r="O81" i="2"/>
  <c r="Q81" i="2"/>
  <c r="O77" i="2"/>
  <c r="S77" i="2"/>
  <c r="Q77" i="2"/>
  <c r="M87" i="24"/>
  <c r="S75" i="2"/>
  <c r="S73" i="2"/>
  <c r="S76" i="2"/>
  <c r="S85" i="2"/>
  <c r="S74" i="2"/>
  <c r="S86" i="2"/>
  <c r="S78" i="2"/>
  <c r="O83" i="2" l="1"/>
  <c r="Q87" i="2"/>
  <c r="Q70" i="2"/>
  <c r="S70" i="2" s="1"/>
  <c r="Q74" i="2"/>
  <c r="Q67" i="2"/>
  <c r="S67" i="2" s="1"/>
  <c r="Q71" i="2"/>
  <c r="Q69" i="2"/>
  <c r="S69" i="2" s="1"/>
  <c r="Q85" i="2"/>
  <c r="Q79" i="2"/>
  <c r="O75" i="2"/>
  <c r="O82" i="2"/>
  <c r="O68" i="2"/>
  <c r="N90" i="2"/>
  <c r="O80" i="2"/>
  <c r="O76" i="2"/>
  <c r="O84" i="2"/>
  <c r="O73" i="2"/>
  <c r="O86" i="2"/>
  <c r="O78" i="2"/>
  <c r="P66" i="33"/>
  <c r="F67" i="33" s="1"/>
  <c r="L66" i="33"/>
  <c r="L90" i="2"/>
  <c r="O66" i="2"/>
  <c r="Q66" i="2"/>
  <c r="L116" i="33"/>
  <c r="P116" i="33"/>
  <c r="F117" i="33" s="1"/>
  <c r="O90" i="2" l="1"/>
  <c r="L117" i="33"/>
  <c r="L118" i="33" s="1"/>
  <c r="P117" i="33"/>
  <c r="Q90" i="2"/>
  <c r="S66" i="2"/>
  <c r="S90" i="2" s="1"/>
  <c r="P67" i="33"/>
  <c r="F68" i="33" s="1"/>
  <c r="L67" i="33"/>
  <c r="L68" i="33" l="1"/>
  <c r="L69" i="33" s="1"/>
  <c r="P68"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Tuckler, David</author>
  </authors>
  <commentList>
    <comment ref="I11" authorId="0" shapeId="0" xr:uid="{D7F35C97-3714-4608-A570-E56827EACADC}">
      <text>
        <r>
          <rPr>
            <b/>
            <sz val="9"/>
            <color indexed="81"/>
            <rFont val="Tahoma"/>
            <family val="2"/>
          </rPr>
          <t>Tuckler, David:</t>
        </r>
        <r>
          <rPr>
            <sz val="9"/>
            <color indexed="81"/>
            <rFont val="Tahoma"/>
            <family val="2"/>
          </rPr>
          <t xml:space="preserve">
Added comments on whether to include/exclude taxes.</t>
        </r>
      </text>
    </comment>
  </commentList>
</comments>
</file>

<file path=xl/sharedStrings.xml><?xml version="1.0" encoding="utf-8"?>
<sst xmlns="http://schemas.openxmlformats.org/spreadsheetml/2006/main" count="2941" uniqueCount="1289">
  <si>
    <t>Bundled Sales for Resale  included on page 4 of Attachment H</t>
  </si>
  <si>
    <t xml:space="preserve">b. Bundled Sales for Resale </t>
  </si>
  <si>
    <t>Total PBOP expenses (Note A)</t>
  </si>
  <si>
    <t>Attach H, p 2, line 2 col 5 plus line 27 col 5 (Note A)</t>
  </si>
  <si>
    <t>Attach H, p 3, line 14 col 5</t>
  </si>
  <si>
    <t>Attach H, p 3, lines 17 &amp; 18, col 5 (Note H)</t>
  </si>
  <si>
    <t>Attach H, p 1, line 7 col 5</t>
  </si>
  <si>
    <t>O&amp;M</t>
  </si>
  <si>
    <t>ITEP Project Number</t>
  </si>
  <si>
    <t xml:space="preserve">Formula Rate - Non-Levelized </t>
  </si>
  <si>
    <t xml:space="preserve"> </t>
  </si>
  <si>
    <t>(1)</t>
  </si>
  <si>
    <t>(2)</t>
  </si>
  <si>
    <t>(3)</t>
  </si>
  <si>
    <t>(4)</t>
  </si>
  <si>
    <t>(5)</t>
  </si>
  <si>
    <t>Line</t>
  </si>
  <si>
    <t>Allocated</t>
  </si>
  <si>
    <t>No.</t>
  </si>
  <si>
    <t>Amount</t>
  </si>
  <si>
    <t xml:space="preserve">REVENUE CREDITS </t>
  </si>
  <si>
    <t>Total</t>
  </si>
  <si>
    <t>Allocator</t>
  </si>
  <si>
    <t>TP</t>
  </si>
  <si>
    <t>NET REVENUE REQUIREMENT</t>
  </si>
  <si>
    <t>Transmission</t>
  </si>
  <si>
    <t>Page, Line, Col.</t>
  </si>
  <si>
    <t>Company Total</t>
  </si>
  <si>
    <t xml:space="preserve">                  Allocator</t>
  </si>
  <si>
    <t>(Col 3 times Col 4)</t>
  </si>
  <si>
    <t>NA</t>
  </si>
  <si>
    <t xml:space="preserve">  Transmission</t>
  </si>
  <si>
    <t>W/S</t>
  </si>
  <si>
    <t>GP=</t>
  </si>
  <si>
    <t>NET PLANT IN SERVICE</t>
  </si>
  <si>
    <t>NP=</t>
  </si>
  <si>
    <t>NP</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</si>
  <si>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</si>
  <si>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</si>
  <si>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</si>
  <si>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</si>
  <si>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</si>
  <si>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</si>
  <si>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</si>
  <si>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</si>
  <si>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</si>
  <si>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</si>
  <si>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</si>
  <si>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</si>
  <si>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</si>
  <si>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</si>
  <si>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     CIT=(T/1-T) * (1-(WCLTD/R)) =</t>
  </si>
  <si>
    <t>Total Income Taxes</t>
  </si>
  <si>
    <t xml:space="preserve">RETURN </t>
  </si>
  <si>
    <t xml:space="preserve">                SUPPORTING CALCULATIONS AND NOTES</t>
  </si>
  <si>
    <t>TRANSMISSION PLANT INCLUDED IN ISO RATES</t>
  </si>
  <si>
    <t>TP=</t>
  </si>
  <si>
    <t>Form 1 Reference</t>
  </si>
  <si>
    <t>$</t>
  </si>
  <si>
    <t>Allocation</t>
  </si>
  <si>
    <t>354.20.b</t>
  </si>
  <si>
    <t>W&amp;S Allocator</t>
  </si>
  <si>
    <t xml:space="preserve">  Other</t>
  </si>
  <si>
    <t>($ / Allocation)</t>
  </si>
  <si>
    <t>=</t>
  </si>
  <si>
    <t>WS</t>
  </si>
  <si>
    <t>RETURN (R)</t>
  </si>
  <si>
    <t>Cost</t>
  </si>
  <si>
    <t>%</t>
  </si>
  <si>
    <t>Weighted</t>
  </si>
  <si>
    <t>=WCLTD</t>
  </si>
  <si>
    <t>=R</t>
  </si>
  <si>
    <t>General Note:  References to pages in this formulary rate are indicated as:  (page#, line#, col.#)</t>
  </si>
  <si>
    <t>Note</t>
  </si>
  <si>
    <t>Letter</t>
  </si>
  <si>
    <t>A</t>
  </si>
  <si>
    <t>B</t>
  </si>
  <si>
    <t>C</t>
  </si>
  <si>
    <t>D</t>
  </si>
  <si>
    <t>E</t>
  </si>
  <si>
    <t>F</t>
  </si>
  <si>
    <t>G</t>
  </si>
  <si>
    <t>Identified in Form 1 as being only transmission related.</t>
  </si>
  <si>
    <t>H</t>
  </si>
  <si>
    <t>I</t>
  </si>
  <si>
    <t>J</t>
  </si>
  <si>
    <t xml:space="preserve">         Inputs Required:</t>
  </si>
  <si>
    <t>FIT =</t>
  </si>
  <si>
    <t>SIT=</t>
  </si>
  <si>
    <t>p =</t>
  </si>
  <si>
    <t>Enter dollar amounts</t>
  </si>
  <si>
    <t>Rate Formula Template</t>
  </si>
  <si>
    <t>May</t>
  </si>
  <si>
    <t>(B)</t>
  </si>
  <si>
    <t>(A)</t>
  </si>
  <si>
    <t>April</t>
  </si>
  <si>
    <t>Year</t>
  </si>
  <si>
    <t>DA</t>
  </si>
  <si>
    <t>December</t>
  </si>
  <si>
    <t>November</t>
  </si>
  <si>
    <t>September</t>
  </si>
  <si>
    <t>August</t>
  </si>
  <si>
    <t>July</t>
  </si>
  <si>
    <t>March</t>
  </si>
  <si>
    <t>February</t>
  </si>
  <si>
    <t>January</t>
  </si>
  <si>
    <t>October</t>
  </si>
  <si>
    <t xml:space="preserve">  CWIP</t>
  </si>
  <si>
    <t xml:space="preserve">Total Loan Amount </t>
  </si>
  <si>
    <t xml:space="preserve">NPV = 0 = </t>
  </si>
  <si>
    <t>Underwriting Discount</t>
  </si>
  <si>
    <t xml:space="preserve">   Total Issuance Expense</t>
  </si>
  <si>
    <t>Interest Rate</t>
  </si>
  <si>
    <t>( C)</t>
  </si>
  <si>
    <t>(D)</t>
  </si>
  <si>
    <t>(E)</t>
  </si>
  <si>
    <t>(F)</t>
  </si>
  <si>
    <t>(G)</t>
  </si>
  <si>
    <t>(H)</t>
  </si>
  <si>
    <t>(I)</t>
  </si>
  <si>
    <t>Principle Drawn In Quarter ($000's)</t>
  </si>
  <si>
    <t>Principle Drawn To Date ($000's)</t>
  </si>
  <si>
    <t>Origination Fees ($000's)</t>
  </si>
  <si>
    <t>Net Cash Flows ($000's)</t>
  </si>
  <si>
    <t>(D-F-G-H)</t>
  </si>
  <si>
    <t xml:space="preserve">  General &amp; Intangible</t>
  </si>
  <si>
    <t xml:space="preserve">  Account No. 281 (enter negative)</t>
  </si>
  <si>
    <t xml:space="preserve">  Account No. 282 (enter negative)</t>
  </si>
  <si>
    <t xml:space="preserve">  Account No. 283 (enter negative)</t>
  </si>
  <si>
    <t xml:space="preserve">  Account No. 255 (enter negative)</t>
  </si>
  <si>
    <t xml:space="preserve">  Prepayments (Account 165)</t>
  </si>
  <si>
    <t xml:space="preserve">  Amortization of Abandoned Plant</t>
  </si>
  <si>
    <t>Spread</t>
  </si>
  <si>
    <t>Revolving Credit Commitment Fee</t>
  </si>
  <si>
    <t>Legal Fees</t>
  </si>
  <si>
    <t>Rating Agency Fee</t>
  </si>
  <si>
    <t>Upfront Fee</t>
  </si>
  <si>
    <t>Arrangement Fee</t>
  </si>
  <si>
    <t>Annual Rating Agency Fee</t>
  </si>
  <si>
    <t>Annual Bank Agency Fee</t>
  </si>
  <si>
    <t>Hypothetical Monthly Interest Rate</t>
  </si>
  <si>
    <t>Months</t>
  </si>
  <si>
    <t>Amortization</t>
  </si>
  <si>
    <t>Surcharge (Refund) Owed</t>
  </si>
  <si>
    <t>Monthly</t>
  </si>
  <si>
    <t>June</t>
  </si>
  <si>
    <t>January  through December</t>
  </si>
  <si>
    <t>Over (Under) Recovery Plus Interest Amortized and Recovered Over 12 Months</t>
  </si>
  <si>
    <t>Less Over (Under) Recovery</t>
  </si>
  <si>
    <t>Total Interest</t>
  </si>
  <si>
    <t xml:space="preserve">  Account No. 190 </t>
  </si>
  <si>
    <t>354.23.b</t>
  </si>
  <si>
    <t>YEAR</t>
  </si>
  <si>
    <t>SUMMARY</t>
  </si>
  <si>
    <t>Interest Rate on Amount of Refunds or Surcharges from 35.19a</t>
  </si>
  <si>
    <t>Attachment 9 - Hypothetical Example of Final True-Up of Interest Rates and Interest Calculations for the Construction Loan</t>
  </si>
  <si>
    <t xml:space="preserve">     Less Account 566 (Misc Trans Expense)</t>
  </si>
  <si>
    <t>Account 566</t>
  </si>
  <si>
    <t>Total Account 566</t>
  </si>
  <si>
    <t xml:space="preserve">   Amortization of Regulatory Asset</t>
  </si>
  <si>
    <t>Utilizing FERC Form 1 Data</t>
  </si>
  <si>
    <t>True-up Adjustment with Interest</t>
  </si>
  <si>
    <t>K</t>
  </si>
  <si>
    <t>Consistent with GAAP, the Origination Fees and Commitments Fees will be amortized using the standard Internal Rate of Return formula below.</t>
  </si>
  <si>
    <t>Each year, the amounts withdrawn, the interest paid in the year, Origination Fees, Commitments Fees, and total loan amount will be updated on this attachment.</t>
  </si>
  <si>
    <t xml:space="preserve">  Unamortized Regulatory Asset </t>
  </si>
  <si>
    <t xml:space="preserve">  Unamortized Abandoned Plant  </t>
  </si>
  <si>
    <t>Commitment, Utilization &amp; Ratings Fees ($000's)</t>
  </si>
  <si>
    <t>Year 2017</t>
  </si>
  <si>
    <t>Year 2016</t>
  </si>
  <si>
    <t>*</t>
  </si>
  <si>
    <t>Year 2015</t>
  </si>
  <si>
    <t>Year 2018</t>
  </si>
  <si>
    <t>Total Amount of True-Up Adjustment for 2016 ATRR</t>
  </si>
  <si>
    <t>Total Amount of True-Up Adjustment for 2015 ATRR</t>
  </si>
  <si>
    <t>page 1 of 5</t>
  </si>
  <si>
    <t xml:space="preserve">  Account No. 454</t>
  </si>
  <si>
    <t xml:space="preserve">  Account No. 456.1</t>
  </si>
  <si>
    <t xml:space="preserve">  Revenues from service provided by the ISO at a discount</t>
  </si>
  <si>
    <t>(Note C)</t>
  </si>
  <si>
    <t>(Note D)</t>
  </si>
  <si>
    <t>page 2 of 5</t>
  </si>
  <si>
    <t>356.1</t>
  </si>
  <si>
    <t>CE</t>
  </si>
  <si>
    <t>zero</t>
  </si>
  <si>
    <t xml:space="preserve">  CWC </t>
  </si>
  <si>
    <t>page 3 of 5</t>
  </si>
  <si>
    <t xml:space="preserve">     Less FERC Annual Fees</t>
  </si>
  <si>
    <t>Permanent Differences Tax Adjustment</t>
  </si>
  <si>
    <t>page 4 of 5</t>
  </si>
  <si>
    <t>WAGES &amp; SALARY ALLOCATOR  (W&amp;S)</t>
  </si>
  <si>
    <t>% Electric</t>
  </si>
  <si>
    <t>200.3.c</t>
  </si>
  <si>
    <t xml:space="preserve">  Preferred Stock  (112.3.c)</t>
  </si>
  <si>
    <t>REVENUE CREDITS</t>
  </si>
  <si>
    <t xml:space="preserve">  Total of (a)-(b)</t>
  </si>
  <si>
    <t>page 5 of 5</t>
  </si>
  <si>
    <t>References to data from FERC Form 1 are indicated as:  #.y.x  (page, line, column)</t>
  </si>
  <si>
    <t>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t>
  </si>
  <si>
    <t>(percent of federal income tax deductible for state purposes)</t>
  </si>
  <si>
    <t>M</t>
  </si>
  <si>
    <t>Removes transmission plant determined by Commission order to be state-jurisdictional according to the seven-factor test (until Form 1 balances are adjusted to reflect application of seven-factor test).</t>
  </si>
  <si>
    <t xml:space="preserve">Removes dollar amount of transmission plant to be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  </t>
  </si>
  <si>
    <t>O</t>
  </si>
  <si>
    <t>P</t>
  </si>
  <si>
    <t>Q</t>
  </si>
  <si>
    <t>R</t>
  </si>
  <si>
    <t>Includes income related only to transmission facilities, such as pole attachments, rentals and special use.</t>
  </si>
  <si>
    <t>S</t>
  </si>
  <si>
    <t>T</t>
  </si>
  <si>
    <t>Gross Transmission Plant - Total</t>
  </si>
  <si>
    <t>Net Transmission Plant - Total</t>
  </si>
  <si>
    <t>O&amp;M EXPENSE</t>
  </si>
  <si>
    <t>Total O&amp;M Allocated to Transmission</t>
  </si>
  <si>
    <t>Annual Allocation Factor for O&amp;M</t>
  </si>
  <si>
    <t>(line 3 divided by line 1 col 3)</t>
  </si>
  <si>
    <t>5</t>
  </si>
  <si>
    <t>6</t>
  </si>
  <si>
    <t>(line 5 divided by line 1 col 3)</t>
  </si>
  <si>
    <t>TAXES OTHER THAN INCOME TAXES</t>
  </si>
  <si>
    <t>7</t>
  </si>
  <si>
    <t>Total Other Taxes</t>
  </si>
  <si>
    <t>8</t>
  </si>
  <si>
    <t>Annual Allocation Factor for Other Taxes</t>
  </si>
  <si>
    <t>(line 7 divided by line 1 col 3)</t>
  </si>
  <si>
    <t>9</t>
  </si>
  <si>
    <t>Annual Allocation Factor for Expense</t>
  </si>
  <si>
    <t>INCOME TAXES</t>
  </si>
  <si>
    <t>10</t>
  </si>
  <si>
    <t>11</t>
  </si>
  <si>
    <t>Annual Allocation Factor for Income Taxes</t>
  </si>
  <si>
    <t>12</t>
  </si>
  <si>
    <t>Return on Rate Base</t>
  </si>
  <si>
    <t>13</t>
  </si>
  <si>
    <t>Annual Allocation Factor for Return on Rate Base</t>
  </si>
  <si>
    <t>(line 12 divided by line 2 col 3)</t>
  </si>
  <si>
    <t>14</t>
  </si>
  <si>
    <t>Annual Allocation Factor for Return</t>
  </si>
  <si>
    <t>Page 2 of 2</t>
  </si>
  <si>
    <t>Line No.</t>
  </si>
  <si>
    <t xml:space="preserve">Project Gross Plant </t>
  </si>
  <si>
    <t>Annual Expense Charge</t>
  </si>
  <si>
    <t xml:space="preserve">Project Net Plant </t>
  </si>
  <si>
    <t>Annual Return Charge</t>
  </si>
  <si>
    <t>Annual Revenue Requirement</t>
  </si>
  <si>
    <t>True-Up Adjustment</t>
  </si>
  <si>
    <t>(Col. 3 * Col. 4)</t>
  </si>
  <si>
    <t>(Col. 6 * Col. 7)</t>
  </si>
  <si>
    <t>(Sum Col. 5, 8 &amp; 9)</t>
  </si>
  <si>
    <t>(Note F)</t>
  </si>
  <si>
    <t>2</t>
  </si>
  <si>
    <t>Annual Totals</t>
  </si>
  <si>
    <t>Month</t>
  </si>
  <si>
    <t>Held for Future Use</t>
  </si>
  <si>
    <t xml:space="preserve">  Materials &amp; Supplies</t>
  </si>
  <si>
    <t xml:space="preserve">  Prepayments</t>
  </si>
  <si>
    <t xml:space="preserve">March </t>
  </si>
  <si>
    <t xml:space="preserve">August </t>
  </si>
  <si>
    <t xml:space="preserve">Unamortized Regulatory Asset </t>
  </si>
  <si>
    <t xml:space="preserve">Unamortized Abandoned Plant  </t>
  </si>
  <si>
    <t>EPRI &amp; Reg. Comm. Exp. &amp; Non-safety  Ad.</t>
  </si>
  <si>
    <t>Transmission Related Reg. Comm. Exp.</t>
  </si>
  <si>
    <t>General &amp; Intangible</t>
  </si>
  <si>
    <t>Amortized Investment Tax Credit (266.8f)</t>
  </si>
  <si>
    <t>15</t>
  </si>
  <si>
    <t>16</t>
  </si>
  <si>
    <t>(line 9 divided by line 1 col 3)</t>
  </si>
  <si>
    <t>Sum of line 4, 6, 8, and 10</t>
  </si>
  <si>
    <t>Sum of line 13 and 15</t>
  </si>
  <si>
    <t>Project Depreciation/Amortization Expense</t>
  </si>
  <si>
    <t>Incentive Return</t>
  </si>
  <si>
    <t>Incentive Return in basis Points</t>
  </si>
  <si>
    <t>Less Revenue Credits</t>
  </si>
  <si>
    <t xml:space="preserve">  Account No. 457.1 Scheduling</t>
  </si>
  <si>
    <t>Notes:</t>
  </si>
  <si>
    <t xml:space="preserve">A </t>
  </si>
  <si>
    <t xml:space="preserve">B </t>
  </si>
  <si>
    <t xml:space="preserve">L </t>
  </si>
  <si>
    <t xml:space="preserve">N </t>
  </si>
  <si>
    <t>Total Annual Revenue Requirement</t>
  </si>
  <si>
    <t>Project Revenue Requirement Worksheet</t>
  </si>
  <si>
    <t>Attachment 1</t>
  </si>
  <si>
    <t>Attachment 3</t>
  </si>
  <si>
    <t>Attachment 4</t>
  </si>
  <si>
    <t>Attachment 5</t>
  </si>
  <si>
    <t>Attachment 6</t>
  </si>
  <si>
    <t>Attachment 7</t>
  </si>
  <si>
    <t>ROE will be supported in the original filing and no change in ROE may be made absent a filing with FERC.</t>
  </si>
  <si>
    <t>The Hypothetical Example:</t>
  </si>
  <si>
    <t>December Prior Year</t>
  </si>
  <si>
    <t xml:space="preserve">December </t>
  </si>
  <si>
    <t>Line No</t>
  </si>
  <si>
    <t>(a)</t>
  </si>
  <si>
    <t>(b)</t>
  </si>
  <si>
    <t>(c)</t>
  </si>
  <si>
    <t>(d)</t>
  </si>
  <si>
    <t>(f)</t>
  </si>
  <si>
    <t>(e)</t>
  </si>
  <si>
    <t>(g)</t>
  </si>
  <si>
    <t>(h)</t>
  </si>
  <si>
    <t>(i)</t>
  </si>
  <si>
    <t>Source</t>
  </si>
  <si>
    <t>Attachment 4, Line 14, Col. (d)</t>
  </si>
  <si>
    <t>Accumulated Depreciation</t>
  </si>
  <si>
    <t>Gross Plant In Service</t>
  </si>
  <si>
    <t>Working Capital</t>
  </si>
  <si>
    <t>CWIP</t>
  </si>
  <si>
    <t>LHFFU</t>
  </si>
  <si>
    <t>Adjustments to Rate Base</t>
  </si>
  <si>
    <t>6a</t>
  </si>
  <si>
    <t xml:space="preserve">     Less PBOP Expense in Year</t>
  </si>
  <si>
    <t>7a</t>
  </si>
  <si>
    <t xml:space="preserve">     Plus PBOP Expense Allowed Amount</t>
  </si>
  <si>
    <t>(Note N)</t>
  </si>
  <si>
    <t>U</t>
  </si>
  <si>
    <t xml:space="preserve">ACCOUNT 454 (RENT FROM ELECTRIC PROPERTY) </t>
  </si>
  <si>
    <t>ACCOUNT 456.1 (OTHER ELECTRIC REVENUES)</t>
  </si>
  <si>
    <t>(page 3, line 47)</t>
  </si>
  <si>
    <t>GROSS REVENUE REQUIREMENT</t>
  </si>
  <si>
    <t>(Note O)</t>
  </si>
  <si>
    <t>(line 1 minus line 7)</t>
  </si>
  <si>
    <t>(line 8 plus line 9)</t>
  </si>
  <si>
    <t xml:space="preserve">     Plus Transmission Related Reg. Comm. Exp.  </t>
  </si>
  <si>
    <t xml:space="preserve">     Less EPRI &amp; Reg. Comm. Exp. &amp; Non-safety Ad.  </t>
  </si>
  <si>
    <t>(Sum of Lines 16 through 19)</t>
  </si>
  <si>
    <t xml:space="preserve">TOTAL DEPRECIATION </t>
  </si>
  <si>
    <t xml:space="preserve">TAXES OTHER THAN INCOME TAXES </t>
  </si>
  <si>
    <t>(Sum of Lines 23 through 29)</t>
  </si>
  <si>
    <t>TOTAL OTHER TAXES</t>
  </si>
  <si>
    <t>(Sum of Lines 1 through 5)</t>
  </si>
  <si>
    <t>TOTAL GROSS PLANT</t>
  </si>
  <si>
    <t>(Sum of Lines 8 through 12)</t>
  </si>
  <si>
    <t xml:space="preserve">TOTAL ACCUM. DEPRECIATION </t>
  </si>
  <si>
    <t>(Sum of Lines 15 through 19)</t>
  </si>
  <si>
    <t>(Line 2 minus Line 9)</t>
  </si>
  <si>
    <t>(Line 4 minus Line 11)</t>
  </si>
  <si>
    <t>(Sum of Lines 22 through 29)</t>
  </si>
  <si>
    <t xml:space="preserve">TOTAL ADJUSTMENTS </t>
  </si>
  <si>
    <t>TOTAL NET PLANT</t>
  </si>
  <si>
    <t>(Sum of Lines 2 through 6)</t>
  </si>
  <si>
    <t xml:space="preserve">TOTAL REVENUE CREDITS </t>
  </si>
  <si>
    <t xml:space="preserve">TOTAL WORKING CAPITAL  </t>
  </si>
  <si>
    <t xml:space="preserve">WORKING CAPITAL </t>
  </si>
  <si>
    <t>(Sum of Lines 20, 30, 31 &amp; 36)</t>
  </si>
  <si>
    <t xml:space="preserve">RATE BASE </t>
  </si>
  <si>
    <t>TOTAL O&amp;M</t>
  </si>
  <si>
    <t xml:space="preserve">Total </t>
  </si>
  <si>
    <t>(Note H)</t>
  </si>
  <si>
    <t>(Note I)</t>
  </si>
  <si>
    <t xml:space="preserve">Total Transmission plant  </t>
  </si>
  <si>
    <t xml:space="preserve">Less Transmission plant excluded from ISO rates  </t>
  </si>
  <si>
    <t xml:space="preserve">Less Transmission plant included in OATT Ancillary Services  </t>
  </si>
  <si>
    <t>(Line 1 minus Lines 2 &amp; 3)</t>
  </si>
  <si>
    <t>Transmission plant included in ISO rates</t>
  </si>
  <si>
    <t>(Line 4 divided by Line 1)</t>
  </si>
  <si>
    <t xml:space="preserve">Percentage of Transmission plant included in ISO Rates  </t>
  </si>
  <si>
    <t>(Sum of Lines 13 through 15)</t>
  </si>
  <si>
    <t>(Sum of Lines 7 through 10)</t>
  </si>
  <si>
    <t xml:space="preserve">  Long Term Debt </t>
  </si>
  <si>
    <t>(Line 36 times Line 38)</t>
  </si>
  <si>
    <t>(Line 36 times Line 39)</t>
  </si>
  <si>
    <t>(Line 36 times Line 37)</t>
  </si>
  <si>
    <t>(Sum of Lines 40 through 43)</t>
  </si>
  <si>
    <t>Amortized Investment Tax Credit</t>
  </si>
  <si>
    <t xml:space="preserve">Income Tax Calculation </t>
  </si>
  <si>
    <t xml:space="preserve">ITC adjustment </t>
  </si>
  <si>
    <t xml:space="preserve">Total Income Taxes </t>
  </si>
  <si>
    <t>(Page 2, Line 37 times Page 4, Line 23)</t>
  </si>
  <si>
    <t xml:space="preserve">     FIT &amp; SIT &amp; P</t>
  </si>
  <si>
    <t>(Note G)</t>
  </si>
  <si>
    <t>(Sum of Lines 14, 20, 30, 44 &amp; 46)</t>
  </si>
  <si>
    <t>REV. REQUIREMENT</t>
  </si>
  <si>
    <t>b. Transmission charges associated with Project detailed on the Project Rev Req Schedule Col. 10.</t>
  </si>
  <si>
    <t xml:space="preserve">a. Transmission charges for all transmission transactions </t>
  </si>
  <si>
    <t xml:space="preserve">a. Bundled Non-RQ Sales for Resale </t>
  </si>
  <si>
    <t>FERC Annual Fees</t>
  </si>
  <si>
    <t>Highway &amp; Vehicle Taxes</t>
  </si>
  <si>
    <t>Gross Receipts Taxes</t>
  </si>
  <si>
    <t>Payments in lieu of Taxes</t>
  </si>
  <si>
    <t>Transmission Lease Payments</t>
  </si>
  <si>
    <t>4</t>
  </si>
  <si>
    <t>1</t>
  </si>
  <si>
    <t>3</t>
  </si>
  <si>
    <t>17</t>
  </si>
  <si>
    <t>18</t>
  </si>
  <si>
    <t>19</t>
  </si>
  <si>
    <t>20</t>
  </si>
  <si>
    <t>21</t>
  </si>
  <si>
    <t>22</t>
  </si>
  <si>
    <t>23</t>
  </si>
  <si>
    <t>24</t>
  </si>
  <si>
    <t>25</t>
  </si>
  <si>
    <t>26</t>
  </si>
  <si>
    <t>(j)</t>
  </si>
  <si>
    <t>Account No. 566 (Misc. Trans. Expense)</t>
  </si>
  <si>
    <t>Account No. 565</t>
  </si>
  <si>
    <t>Amortization of Abandoned Plant</t>
  </si>
  <si>
    <t>(k)</t>
  </si>
  <si>
    <t>Attach. 5, Line 13, Col. (e)</t>
  </si>
  <si>
    <t>V</t>
  </si>
  <si>
    <t>(Note V)</t>
  </si>
  <si>
    <t>Attachment 2</t>
  </si>
  <si>
    <t>100 Basis Point Incentive Return</t>
  </si>
  <si>
    <t>Amortized Investment Tax Credit (266.8f) (enter negative)</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</si>
  <si>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</si>
  <si>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</si>
  <si>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</si>
  <si>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</si>
  <si>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100 Basis Point Incentive Return multiplied by Rate Base (line 1 * line 6)</t>
  </si>
  <si>
    <t>Attachment 10</t>
  </si>
  <si>
    <t>Depreciation Rates</t>
  </si>
  <si>
    <t>Land Rights</t>
  </si>
  <si>
    <t>Power Operated Equipment</t>
  </si>
  <si>
    <t>Communication Equipment</t>
  </si>
  <si>
    <t>Avg. Monthly FERC Rate</t>
  </si>
  <si>
    <t xml:space="preserve">Rate Base Worksheet </t>
  </si>
  <si>
    <t xml:space="preserve">Average of the 13 Monthly Balances </t>
  </si>
  <si>
    <t>Average of the 13 Monthly Balances</t>
  </si>
  <si>
    <t>Account No. 255
Accumulated Deferred Investment Credit</t>
  </si>
  <si>
    <t xml:space="preserve">  Revenues from Grandfathered Interzonal Transactions </t>
  </si>
  <si>
    <t xml:space="preserve">  Production </t>
  </si>
  <si>
    <t xml:space="preserve">  Distribution </t>
  </si>
  <si>
    <t xml:space="preserve">  Common </t>
  </si>
  <si>
    <t>Attachment 4, Line 14, Col. (b)</t>
  </si>
  <si>
    <t>Attachment 4, Line 14, Col. (c)</t>
  </si>
  <si>
    <t>205.46.g for end of year, records for other months</t>
  </si>
  <si>
    <t>207.75.g for end of year, records for other months</t>
  </si>
  <si>
    <t>356.1 for end of year, records for other months</t>
  </si>
  <si>
    <t>219.20-24.c for end of year, records for other months</t>
  </si>
  <si>
    <t>219.26.c for end of year, records for other months</t>
  </si>
  <si>
    <t>Attachment 4, Line 14, Col. (h)</t>
  </si>
  <si>
    <t>Attachment 4, Line 14, Col. (i)</t>
  </si>
  <si>
    <t>Attachment 4, Line 28, Col. (c) (Note S)</t>
  </si>
  <si>
    <t>Attachment 4, Line 14, Col. (e) (Note C)</t>
  </si>
  <si>
    <t>Attachment 4, Line 14, Col. (g)</t>
  </si>
  <si>
    <t>(Note E) Attach. 5, Line 13, Col. (f)</t>
  </si>
  <si>
    <t>(Sum of Lines 1, 4, 7, 7a, 8, 9, 13 less Lines 2, 3, 5, 6, 6a)</t>
  </si>
  <si>
    <t>321.112.b Attach. 5, Line 13, Col. (a)</t>
  </si>
  <si>
    <t xml:space="preserve">321.97.b Attach. 5, Line 13, Col. (b) </t>
  </si>
  <si>
    <t>321.96.b Attach. 5, Line 13, Col. (c)</t>
  </si>
  <si>
    <t>323.197.b Attach. 5, Line 13, Col. (d)</t>
  </si>
  <si>
    <t>(Note S) Attach. 5, Line 26, Col. (b)</t>
  </si>
  <si>
    <t>263.i Attach. 5, Line 26, Col. (c)</t>
  </si>
  <si>
    <t>263.i Attach. 5, Line 26, Col. (d)</t>
  </si>
  <si>
    <t>263.i Attach. 5, Line 26, Co.l (e)</t>
  </si>
  <si>
    <t>263.i Attach. 5, Line 26, Col. (f)</t>
  </si>
  <si>
    <t>263.i Attach. 5, Line 26, Col. (g)</t>
  </si>
  <si>
    <t>266.8f (enter negative) Attach. 5, Line 26, Col. (i)</t>
  </si>
  <si>
    <t>354.21.b</t>
  </si>
  <si>
    <t>354.24,25,26.b</t>
  </si>
  <si>
    <t xml:space="preserve">  Electric </t>
  </si>
  <si>
    <t xml:space="preserve">  Gas</t>
  </si>
  <si>
    <t xml:space="preserve">  Water </t>
  </si>
  <si>
    <t xml:space="preserve">  Total</t>
  </si>
  <si>
    <t>311.x.h</t>
  </si>
  <si>
    <t>Cash Working Capital assigned to transmission is one-eighth of O&amp;M allocated to transmission at page 3, line 14, column 5 minus amortization of Regulatory Asset at page 3, line 11, column 5.  Prepayments are the electric related prepayments booked to Account No. 165 and reported on pages 111, line 57 in the Form 1.</t>
  </si>
  <si>
    <t>(14)</t>
  </si>
  <si>
    <t>(15)</t>
  </si>
  <si>
    <t>Transmission O&amp;M Expenses</t>
  </si>
  <si>
    <t>A&amp;G Expenses</t>
  </si>
  <si>
    <t>Amortization of Regulatory Asset</t>
  </si>
  <si>
    <t>Depreciation Expense - Transmission</t>
  </si>
  <si>
    <t>Depreciation Expense - General &amp; Intangible</t>
  </si>
  <si>
    <t>Payroll Taxes</t>
  </si>
  <si>
    <t>Property Taxes</t>
  </si>
  <si>
    <t>Other Taxes</t>
  </si>
  <si>
    <t xml:space="preserve">  Common Stock</t>
  </si>
  <si>
    <t>Attachment 4, Line 28, Col. (b) (Note T)</t>
  </si>
  <si>
    <t>Calculation of PBOP Expenses</t>
  </si>
  <si>
    <t>Tax Effect of Permanent Differences</t>
  </si>
  <si>
    <t>Attachment 4, Line 14, Col. (f) (Note C)</t>
  </si>
  <si>
    <t>PBOPs</t>
  </si>
  <si>
    <t>(Page 1 line 11)</t>
  </si>
  <si>
    <t>(Page 1 line 16)</t>
  </si>
  <si>
    <t xml:space="preserve">Transmission charges for all transmission transactions </t>
  </si>
  <si>
    <t>Transmission charges associated with Project detailed on the Project Rev Req Schedule Col. 10.</t>
  </si>
  <si>
    <t>29</t>
  </si>
  <si>
    <r>
      <t>310 -</t>
    </r>
    <r>
      <rPr>
        <sz val="10"/>
        <rFont val="Times New Roman"/>
        <family val="1"/>
      </rPr>
      <t>311</t>
    </r>
  </si>
  <si>
    <t>Attach. 5, Line 26, Col. (k) (Note W)</t>
  </si>
  <si>
    <t>W</t>
  </si>
  <si>
    <t>Line 5 includes a 100 basis point increase in ROE that is used only to determine the increase in return and income taxes associated with</t>
  </si>
  <si>
    <t xml:space="preserve">Notes: </t>
  </si>
  <si>
    <t>The Tax Effect of Permanent Differences captures the differences in the income taxes due under the Federal and State calculations and the income taxes calculated</t>
  </si>
  <si>
    <t>For example, if the Commission were to grant a 137 basis point ROE incentive, the increase in return and taxes for a 100 basis point</t>
  </si>
  <si>
    <t>Year 2019</t>
  </si>
  <si>
    <t>Year 2020</t>
  </si>
  <si>
    <t>Year 2021</t>
  </si>
  <si>
    <t>Rate Base times Return</t>
  </si>
  <si>
    <t>Project True-Up</t>
  </si>
  <si>
    <t>Attachment 8</t>
  </si>
  <si>
    <t>Hypothetical Example of Final True-Up of Interest Rates and Interest Calculations for the Construction Loan</t>
  </si>
  <si>
    <t>Attachment 9</t>
  </si>
  <si>
    <t>Company shall be allowed recovery of costs related to interest rate locks.  Absent a Section 205 filing, Company shall not include in the Formula Rate, the gains, losses, or costs related to other hedges.</t>
  </si>
  <si>
    <t xml:space="preserve">Company will not have any grandfathered agreements.  Therefore, this line shall remain zero. </t>
  </si>
  <si>
    <t xml:space="preserve"> Financing Costs  for Long Term Debt using the Internal Rate of Return Methodology </t>
  </si>
  <si>
    <t>(Sum of Lines 20 through 22)</t>
  </si>
  <si>
    <t>(16)</t>
  </si>
  <si>
    <t>Discount</t>
  </si>
  <si>
    <t>(Sum Col. 10 &amp; 12 Less Col. 13)</t>
  </si>
  <si>
    <t>Sum Col. 14 &amp; 15 
(Note G)</t>
  </si>
  <si>
    <t>(Note J)</t>
  </si>
  <si>
    <t>…</t>
  </si>
  <si>
    <t>Interest</t>
  </si>
  <si>
    <t>Excludes Asset Retirement Obligation balances</t>
  </si>
  <si>
    <t>(Page 2, Line 2, Column 3)</t>
  </si>
  <si>
    <t>The Tax Effect of Permanent Differences captures the differences in the income taxes due under the Federal and State calculations and the income taxes calculated in Attachment H that are not the result of a timing difference</t>
  </si>
  <si>
    <t>Attachment H, Page 3, Line Number</t>
  </si>
  <si>
    <t>Attachment H</t>
  </si>
  <si>
    <t xml:space="preserve"> in Attachment H that are not the result of a timing difference</t>
  </si>
  <si>
    <t>To be completed in conjunction with Attachment H.</t>
  </si>
  <si>
    <t>FERC ACCOUNT</t>
  </si>
  <si>
    <t>DESCRIPTION</t>
  </si>
  <si>
    <t>RATE PERCENT</t>
  </si>
  <si>
    <t>TRANSMISSION</t>
  </si>
  <si>
    <t>Structures and Improvements</t>
  </si>
  <si>
    <t>Station Equipment</t>
  </si>
  <si>
    <t>Towers and Fixtures</t>
  </si>
  <si>
    <t>Poles and Fixtures</t>
  </si>
  <si>
    <t>Overhead Conductors &amp; Devices</t>
  </si>
  <si>
    <t>Underground Conduit</t>
  </si>
  <si>
    <t>Underground Conductors &amp; Devices</t>
  </si>
  <si>
    <t>Roads and Trails</t>
  </si>
  <si>
    <t>N/A</t>
  </si>
  <si>
    <t>Intangible Plant - 5 Year</t>
  </si>
  <si>
    <t>Office Furniture and Equipment</t>
  </si>
  <si>
    <t>Network Equipment</t>
  </si>
  <si>
    <t>Transportation Equipment - Auto</t>
  </si>
  <si>
    <t>Transportation Equipment - Light Truck</t>
  </si>
  <si>
    <t>Transportation Equipment - Trailers</t>
  </si>
  <si>
    <t>Transportation Equipment - Heavy Trucks</t>
  </si>
  <si>
    <t>Stores Equipment</t>
  </si>
  <si>
    <t>Tools, Shop and Garage Equipment</t>
  </si>
  <si>
    <t>Laboratory Equipment</t>
  </si>
  <si>
    <t>Miscellaneous Equipment</t>
  </si>
  <si>
    <t>Long Term Interest (117, sum of 62.c through 67.c)</t>
  </si>
  <si>
    <t>Preferred Dividends (118.29c) (positive number)</t>
  </si>
  <si>
    <t>Proprietary Capital (112.16.c)</t>
  </si>
  <si>
    <t>Less Account 216.1 (112.12.c)  (enter negative)</t>
  </si>
  <si>
    <t>Common Stock</t>
  </si>
  <si>
    <t>Origination Fees</t>
  </si>
  <si>
    <t>LIBOR Rate</t>
  </si>
  <si>
    <t>*  Assumes that the construction loan is retired on Sept 1, 2020</t>
  </si>
  <si>
    <t>**  Assumes permanent debt structure is put in place on Sept 1, 2020 with effective rate of 6.5%</t>
  </si>
  <si>
    <t>Calculation of Interest for 2015 True-Up Period</t>
  </si>
  <si>
    <t>Calculation of Interest for 2016 True-Up Period</t>
  </si>
  <si>
    <t>Calculation of Interest for 2017 True-Up Period</t>
  </si>
  <si>
    <t>Calculation of Interest for 2018 True-Up Period</t>
  </si>
  <si>
    <t>Calculation of Interest for 2019 True-Up Period</t>
  </si>
  <si>
    <t>207.58.g for end of year, records for other months</t>
  </si>
  <si>
    <t>219.25.c for end of year, records for other months</t>
  </si>
  <si>
    <t>219.28.c &amp; 200.21.c for end of year, records for other months</t>
  </si>
  <si>
    <t>111.57.c for end of year, records for other months</t>
  </si>
  <si>
    <t>227.8.c &amp; 227.16.c for end of year, records for other months</t>
  </si>
  <si>
    <t>Under/(Over)</t>
  </si>
  <si>
    <t xml:space="preserve">2nd Qtr </t>
  </si>
  <si>
    <t xml:space="preserve">3rd Qtr </t>
  </si>
  <si>
    <t>4th Qtr</t>
  </si>
  <si>
    <t>Rate Base</t>
  </si>
  <si>
    <t xml:space="preserve">  Preferred Stock  </t>
  </si>
  <si>
    <t xml:space="preserve">      WCLTD = Line 3</t>
  </si>
  <si>
    <t>Tax Effect of Permanent Differences  (Note B)</t>
  </si>
  <si>
    <t>Rate Base (line 1)</t>
  </si>
  <si>
    <t xml:space="preserve">     T=1 - {[(1 - SIT) * (1 - FIT)] / (1 - SIT * FIT * p)} =</t>
  </si>
  <si>
    <t>Requires approval by FERC of incentive return applicable to the specified project(s)</t>
  </si>
  <si>
    <t>(Note K)</t>
  </si>
  <si>
    <t>(Note E) Attach. 5, Line 13, Col. (g)</t>
  </si>
  <si>
    <t>Attach. 5, Line 13, Col (h)</t>
  </si>
  <si>
    <t>(Note T) Attach. 5, Line 13, Col. (i)</t>
  </si>
  <si>
    <t>Attach. 5, Line 13, Col .(j)</t>
  </si>
  <si>
    <t xml:space="preserve">RATE BASE: </t>
  </si>
  <si>
    <t>DEPRECIATION EXPENSE  (Note U)</t>
  </si>
  <si>
    <t>The Unamortized Abandoned Plant balance is included in Net Plant, and Amortization of Abandoned Plant is included in Depreciation/Amortization Expense.</t>
  </si>
  <si>
    <t>Attach H, p 1 line 4</t>
  </si>
  <si>
    <t>Incentive ROE</t>
  </si>
  <si>
    <t>(Notes Q &amp; R)</t>
  </si>
  <si>
    <t>(Notes K, Q &amp; R)</t>
  </si>
  <si>
    <t>(Notes D &amp; I)</t>
  </si>
  <si>
    <t>(Notes E &amp; I)</t>
  </si>
  <si>
    <t>Ceiling Rate</t>
  </si>
  <si>
    <t>(Sum Col. 10 &amp; 12)</t>
  </si>
  <si>
    <t xml:space="preserve"> (12a)</t>
  </si>
  <si>
    <t>All facilities other than those being recovered under Schedules 7, 8, 9 are to be included in Attachment 1.</t>
  </si>
  <si>
    <t>Page 4, Line 28 must equal zero since all short-term power sales must be unbundled and the transmission component reflected in Account No. 456.1.</t>
  </si>
  <si>
    <t>Return    (Attach. H, page 3 line 46 col 5)</t>
  </si>
  <si>
    <t>Income Tax    (Attach. H, page 3 line 44 col 5)</t>
  </si>
  <si>
    <t>26a</t>
  </si>
  <si>
    <t>Attachment 4, Line 31, Col. (h)</t>
  </si>
  <si>
    <t xml:space="preserve">Lines 2-3 cannot change absent approval or acceptance by FERC in a separate proceeding. </t>
  </si>
  <si>
    <t>Attachment 7, Line 8, Col. (g)</t>
  </si>
  <si>
    <t>Attachment 7, Line 6, Col. (g)</t>
  </si>
  <si>
    <t xml:space="preserve">   Miscellaneous Transmission Expense (less amortization of regulatory asset)</t>
  </si>
  <si>
    <t>X</t>
  </si>
  <si>
    <t xml:space="preserve">COMMON PLANT ALLOCATOR  (CE)  (Note J and X) </t>
  </si>
  <si>
    <t>Calculate using a simple average of beginning of year and end of year balances reconciling to FERC Form No. 1 by Page, Line and Column as shown in Column 2.</t>
  </si>
  <si>
    <t>205.5.g &amp; 207.99.g for end of year, records for other months</t>
  </si>
  <si>
    <t>Attachment H, Page 3, Line No.:</t>
  </si>
  <si>
    <t>Attachment H, Page 4, Line No:</t>
  </si>
  <si>
    <t>Labor dollars (total labor from budget)</t>
  </si>
  <si>
    <t>Note:</t>
  </si>
  <si>
    <t>Note A</t>
  </si>
  <si>
    <t>Note B</t>
  </si>
  <si>
    <t xml:space="preserve">Note C  </t>
  </si>
  <si>
    <t>List of all reserves:</t>
  </si>
  <si>
    <r>
      <t>Enter 1 if NOT in a trust or</t>
    </r>
    <r>
      <rPr>
        <sz val="10"/>
        <rFont val="Times New Roman"/>
        <family val="1"/>
      </rPr>
      <t xml:space="preserve"> reserved account, enter zero (0) if included in a trust or reserved account </t>
    </r>
  </si>
  <si>
    <t>Enter 1 if the accrual account is included in the formula rate, enter (0) if  O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</si>
  <si>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</si>
  <si>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</si>
  <si>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</si>
  <si>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30a</t>
  </si>
  <si>
    <t>Reserve 1</t>
  </si>
  <si>
    <t>30b</t>
  </si>
  <si>
    <t>Reserve 2</t>
  </si>
  <si>
    <t>30c</t>
  </si>
  <si>
    <t>Reserve 3</t>
  </si>
  <si>
    <t>30d</t>
  </si>
  <si>
    <t>Reserve 4</t>
  </si>
  <si>
    <t>30e</t>
  </si>
  <si>
    <t>30f</t>
  </si>
  <si>
    <t>Recovery of regulatory asset is limited to any regulatory assets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</si>
  <si>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</si>
  <si>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Notes A &amp; E</t>
  </si>
  <si>
    <t>Notes B &amp; F</t>
  </si>
  <si>
    <t>272.8.b &amp; 273.8.k</t>
  </si>
  <si>
    <t>Consistent with 266.8.b &amp; 267.8.h</t>
  </si>
  <si>
    <t>Account No. 281
Accumulated Deferred Income Taxes (Note D)</t>
  </si>
  <si>
    <t>Account No. 282
Accumulated Deferred Income Taxes (Note D)</t>
  </si>
  <si>
    <t>Account No. 283
Accumulated Deferred Income Taxes (Note D)</t>
  </si>
  <si>
    <t>Actual Revenue</t>
  </si>
  <si>
    <t>Requirement</t>
  </si>
  <si>
    <t>Annual True-Up Calculation</t>
  </si>
  <si>
    <t xml:space="preserve">Net </t>
  </si>
  <si>
    <t>Net Revenue</t>
  </si>
  <si>
    <t xml:space="preserve">Revenue </t>
  </si>
  <si>
    <t>Income</t>
  </si>
  <si>
    <t>Or Other Identifier</t>
  </si>
  <si>
    <t>Project Name</t>
  </si>
  <si>
    <r>
      <t>Requirement</t>
    </r>
    <r>
      <rPr>
        <vertAlign val="superscript"/>
        <sz val="10"/>
        <color theme="1"/>
        <rFont val="Times New Roman"/>
        <family val="1"/>
      </rPr>
      <t>1</t>
    </r>
  </si>
  <si>
    <t>Received</t>
  </si>
  <si>
    <t>Monthly Interest Rate</t>
  </si>
  <si>
    <t>Interest Income (Expense)</t>
  </si>
  <si>
    <t>In Dollars</t>
  </si>
  <si>
    <t>Col. (b) + Col. (c)</t>
  </si>
  <si>
    <t xml:space="preserve"> Project #</t>
  </si>
  <si>
    <t>15a</t>
  </si>
  <si>
    <t>15b</t>
  </si>
  <si>
    <t>15c</t>
  </si>
  <si>
    <t>Cost of Debt for the Construction Loan Calculated on Attachment 8 Once the Loan is Paid Off:</t>
  </si>
  <si>
    <t>Actual Net Revenue Requirement in Attachment 3, col. (G) for the year</t>
  </si>
  <si>
    <t>Actual Net Revenue Requirement if the Cost of Debt in Col. (c) had been Used</t>
  </si>
  <si>
    <t>Over (Under) Recovery             Col. (d) less Col. (e)</t>
  </si>
  <si>
    <t>To be utilized until a project is placed in service</t>
  </si>
  <si>
    <t>Internal Rate of Return (Note 1)</t>
  </si>
  <si>
    <r>
      <t>Based on following Financial Formula (Note 2)</t>
    </r>
    <r>
      <rPr>
        <b/>
        <sz val="10"/>
        <rFont val="Times New Roman"/>
        <family val="1"/>
      </rPr>
      <t>:</t>
    </r>
  </si>
  <si>
    <t>Rates/Fees</t>
  </si>
  <si>
    <t>21a</t>
  </si>
  <si>
    <t>Quarterly Construction Expenditures       ( $000's)</t>
  </si>
  <si>
    <t>Interest &amp; Principal Payments ($000's)</t>
  </si>
  <si>
    <t>Estimated</t>
  </si>
  <si>
    <t>Cumulative Col. D</t>
  </si>
  <si>
    <t>Interest Rate from Line 25 (Note 3)</t>
  </si>
  <si>
    <t>Input in first Qtr of Loan</t>
  </si>
  <si>
    <t>Lines 17 - 21x</t>
  </si>
  <si>
    <t>Notes</t>
  </si>
  <si>
    <t xml:space="preserve">   N is the last quarter the loan would be outstanding</t>
  </si>
  <si>
    <t xml:space="preserve">   t is each quarter</t>
  </si>
  <si>
    <t xml:space="preserve">   Alternatively the equation can be written as 0 = C0 + C1/(1+IRR) + C2/(1+IRR)2 + C3/(1+IRR)3 + . . . +Cn/(1+IRR)n and solved for IRR</t>
  </si>
  <si>
    <t xml:space="preserve">   The 8% in the above formula is a seed number to ensure the formula produces a positive number.</t>
  </si>
  <si>
    <t>3.  Line 1 reflects the loan amount, the maximum amount that can be drawn on</t>
  </si>
  <si>
    <t xml:space="preserve">   once the actual fees are known.</t>
  </si>
  <si>
    <t xml:space="preserve">  amounts are known</t>
  </si>
  <si>
    <t xml:space="preserve">The balances in Accounts 190, 281, 282 and 283, as adjusted by any amounts in contra accounts identified as regulatory assets or liabilities related to FASB 106 or 109.  Balance of Account 255 is reduced by prior flow throughs and excluded if the utility chose to utilize amortization of tax credits against taxable income.  Account 281 is not allocated.  </t>
  </si>
  <si>
    <t>Annual Allocation Factor Revenue Credits</t>
  </si>
  <si>
    <t>Inclusive of any CWIP or unamortized abandoned plant included in rate base when authorized by FERC order less any prefunded AFUDC, if applicable.</t>
  </si>
  <si>
    <t>PBOP amount included in Company's O&amp;M and A&amp;G expenses included in FERC Account Nos. 500-935</t>
  </si>
  <si>
    <t>Project Depreciation Expense is the actual value booked for the project and included in the Depreciation Expense in Attachment H, page 3, line 16.  Project Depreciation Expense includes the amortization of Abandoned Plant</t>
  </si>
  <si>
    <t xml:space="preserve"> Gross plant does not include Unamortized Abandoned Plant.</t>
  </si>
  <si>
    <t>Attachment 3, Col. J</t>
  </si>
  <si>
    <t>(Sum of Lines 33 through 35)</t>
  </si>
  <si>
    <t>(line 13 / line 16)</t>
  </si>
  <si>
    <t>(line 11)</t>
  </si>
  <si>
    <t>ACCOUNT 447 (SALES FOR RESALE) (Note L)</t>
  </si>
  <si>
    <t>Attach H, p 3, line 30 col 5</t>
  </si>
  <si>
    <t>Attach H, p 3, line 44 col 5</t>
  </si>
  <si>
    <t>Attach H, p 3, line 46 col 5</t>
  </si>
  <si>
    <t>Attachment H, Page 3, Line 37</t>
  </si>
  <si>
    <t>Attachment H, Page 3, Line 38</t>
  </si>
  <si>
    <t>Attachment H, Page 3, Line 39</t>
  </si>
  <si>
    <t>Total Annual Revenue Requirements (Note A)</t>
  </si>
  <si>
    <t xml:space="preserve">  Unfunded Reserves (enter negative)</t>
  </si>
  <si>
    <t>GROSS PLANT IN SERVICE   (Notes U and R)</t>
  </si>
  <si>
    <t>ACCUMULATED DEPRECIATION  (Notes U and R)</t>
  </si>
  <si>
    <t>ADJUSTMENTS TO RATE BASE  (Note R)</t>
  </si>
  <si>
    <t xml:space="preserve">Project Gross Plant is the total capital investment for the project calculated in the same method as the gross plant value in line 1.  This value includes subsequent capital investments required to maintain the facilities to their original capabilities.  </t>
  </si>
  <si>
    <t>labor expensed (labor not capitalized) by SCMCN in current year, 354.28.b.</t>
  </si>
  <si>
    <t>Prior Period</t>
  </si>
  <si>
    <t>SCMCN</t>
  </si>
  <si>
    <t>PBOP Expense for current year</t>
  </si>
  <si>
    <t>Cost per labor dollar (line2 / line3)</t>
  </si>
  <si>
    <t xml:space="preserve">There will be zero PBOP expenses in the SCMCN rates until SCMCN files for recovery of its PBOP expenses.  Line 8 removes all SCMCN or affiliate BPOP expenses in FERC Accounts 500-935. </t>
  </si>
  <si>
    <t>Franchises and Consents (Note 1)</t>
  </si>
  <si>
    <t>Note 1:</t>
  </si>
  <si>
    <t>Attachment 4, Line 28, Col. (d) (Notes B and X)</t>
  </si>
  <si>
    <t>Attachment 4, Line 28, Col. (e) (Notes B and X)</t>
  </si>
  <si>
    <t>Attachment 4, Line 28, Col. (f) (Notes B and X)</t>
  </si>
  <si>
    <t>Attachment 4, Line 28, Col. (g) (Notes B and X)</t>
  </si>
  <si>
    <t>Attachment 4, Line 28, Col. (h) (Notes B and X)</t>
  </si>
  <si>
    <t xml:space="preserve">LAND HELD FOR FUTURE USE  </t>
  </si>
  <si>
    <t>(Line 11 plus Line 12) Ties to 321.97.b</t>
  </si>
  <si>
    <t>336.7.b, d &amp;e Attach. 5, Line 13, Col. (k)</t>
  </si>
  <si>
    <t>336.11.b, d &amp;e</t>
  </si>
  <si>
    <t>336.10.b, d &amp;e, 336.1.b, d &amp;e Attach. 5, Line 26, Col. (a)</t>
  </si>
  <si>
    <t xml:space="preserve"> Total  (W&amp; S Allocator is 1 if lines 7-10 are zero)</t>
  </si>
  <si>
    <t xml:space="preserve">330.x.n </t>
  </si>
  <si>
    <t>Reserved</t>
  </si>
  <si>
    <t>GENERAL, INTANGIBLE AND COMMON (G&amp;C) DEPRECIATION EXPENSE</t>
  </si>
  <si>
    <t>Annual Allocation Factor for G, I &amp; C Depreciation Expense</t>
  </si>
  <si>
    <t>Total G, I &amp; C Depreciation Expense</t>
  </si>
  <si>
    <t>(line 14 divided by line 2 col 3)</t>
  </si>
  <si>
    <t>Attach H, p 2, line 16 col 5 plus line 27 &amp; 29 col 5 (Note B)</t>
  </si>
  <si>
    <t>Gross Transmission Plant is that identified on page 2 line 2 of Attachment H</t>
  </si>
  <si>
    <t>The Net Rev Req is the value to be used in the SPP's rate calculation under the applicable Schedule under the SPP OATT for each project.</t>
  </si>
  <si>
    <t>The Total General, Intangible and Common Depreciation Expense excludes any depreciation expense directly associated with a project and thereby included in page 2 column 9.</t>
  </si>
  <si>
    <t>The discount is the reduction in revenue, if any, that the company agreed to, for instance, to be selected to build facilities as the result of a competitive process and equals the amount by which the annual revenue requirement is reduced from the ceiling rate</t>
  </si>
  <si>
    <t>(Attachment 2, Line 28 /100 * Col. 11)</t>
  </si>
  <si>
    <t>Net Rev Req</t>
  </si>
  <si>
    <t xml:space="preserve">Attachment H, Page 2 line 37, Col.5 </t>
  </si>
  <si>
    <t>(Attachment H, Notes Q and R)</t>
  </si>
  <si>
    <t>(Attachment H, Notes K, Q and R)</t>
  </si>
  <si>
    <t>Cost = Attachment H, Page 4 Line 22, Cost plus .01</t>
  </si>
  <si>
    <t>Total  (sum lines 3-5)</t>
  </si>
  <si>
    <t>increase in ROE would be multiplied by 1.37 on Attachment 1 column 12.</t>
  </si>
  <si>
    <t>a 100 basis point increase in ROE.  Any actual ROE incentive must be approved by the Commission.</t>
  </si>
  <si>
    <r>
      <t>Revenue Received</t>
    </r>
    <r>
      <rPr>
        <vertAlign val="superscript"/>
        <sz val="10"/>
        <color theme="1"/>
        <rFont val="Times New Roman"/>
        <family val="1"/>
      </rPr>
      <t>3</t>
    </r>
  </si>
  <si>
    <t>% of</t>
  </si>
  <si>
    <t>Revenue</t>
  </si>
  <si>
    <t>Total True-Up</t>
  </si>
  <si>
    <r>
      <t>Requirement</t>
    </r>
    <r>
      <rPr>
        <vertAlign val="superscript"/>
        <sz val="10"/>
        <color theme="1"/>
        <rFont val="Times New Roman"/>
        <family val="1"/>
      </rPr>
      <t>2</t>
    </r>
  </si>
  <si>
    <r>
      <t xml:space="preserve">Adjustment </t>
    </r>
    <r>
      <rPr>
        <vertAlign val="superscript"/>
        <sz val="10"/>
        <rFont val="Times New Roman"/>
        <family val="1"/>
      </rPr>
      <t>5</t>
    </r>
  </si>
  <si>
    <r>
      <t>(Expense)</t>
    </r>
    <r>
      <rPr>
        <vertAlign val="superscript"/>
        <sz val="10"/>
        <color theme="1"/>
        <rFont val="Times New Roman"/>
        <family val="1"/>
      </rPr>
      <t>4</t>
    </r>
  </si>
  <si>
    <t>3a</t>
  </si>
  <si>
    <t>3b</t>
  </si>
  <si>
    <t>3c</t>
  </si>
  <si>
    <t>Prior Period Adjustment</t>
  </si>
  <si>
    <t>(Note B)</t>
  </si>
  <si>
    <t>Prior Period Adjustment is the amount of an adjustment to correct an error in a prior period.  The FERC Refund interest rate specified in CFR 35.19(a) for the period up to the date the projected rates that are subject to True Up here went into effect.</t>
  </si>
  <si>
    <t xml:space="preserve">CWIP in Rate Base </t>
  </si>
  <si>
    <t>Account No. 190
Accumulated Deferred Income Taxes (Note D)</t>
  </si>
  <si>
    <t>Attachment H, Page 2, Line No:</t>
  </si>
  <si>
    <t>Unfunded Reserves    (Notes G &amp; H)</t>
  </si>
  <si>
    <t>Recovery of abandoned plant is limited to any abandoned plant recovery authorized by FERC.</t>
  </si>
  <si>
    <t>Includes only CWIP authorized by the Commission for inclusion in rate base.  The annual report filed pursuant to Section 7 of the Protocols will include for each project under construction (i) the CWIP balance eligible for inclusion in rate base; (ii) the CWIP balance ineligible for inclusion in rate base; and</t>
  </si>
  <si>
    <t xml:space="preserve"> (iii) a demonstration that AFUDC is only applied to the CWIP balance that is not included in rate base.  The annual report will reconcile the project-specific CWIP balances to the total Account 107 CWIP balance reported on p. 216.b of the FERC Form 1.</t>
  </si>
  <si>
    <t xml:space="preserve">Recovery of a Regulatory Asset is permitted only for pre-commercial and formation expenses, and is subject to FERC approval before the amortization of the Regulatory Asset can be included in rates.  Recovery of any other regulatory assets requires authorization from the Commission. A carrying charge equal to the AFUDC rate will be applied to the Regulatory Asset prior to the rate year when costs are first recovered. </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</si>
  <si>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30 above.  The allocator in Col. (g) will be the same allocator used in the formula for the cost accruals to the account that is recovered under the Formula Rate.  Since reserves can be created by an offsetting balance sheet account, rather than through cost accruals, the amount to be deducted from rate base should exclude the portion offset by another balance sheet account.</t>
  </si>
  <si>
    <t>Attachment H, Pages 3 and 4, Worksheet</t>
  </si>
  <si>
    <t>Form No. 1</t>
  </si>
  <si>
    <t>321.112.b</t>
  </si>
  <si>
    <t>321.97.b</t>
  </si>
  <si>
    <t>321.96.b</t>
  </si>
  <si>
    <t>323.197.b</t>
  </si>
  <si>
    <t>(Note E)</t>
  </si>
  <si>
    <t>Portion of Transmission O&amp;M</t>
  </si>
  <si>
    <t>Portion of Account 566</t>
  </si>
  <si>
    <t>Balance of Account 566</t>
  </si>
  <si>
    <t>336.7.b, d &amp; e</t>
  </si>
  <si>
    <t>(Note S)</t>
  </si>
  <si>
    <t>266.8.f</t>
  </si>
  <si>
    <t>(Note W)</t>
  </si>
  <si>
    <t>336.10.b, d &amp; e, 336.1.b, d &amp; e</t>
  </si>
  <si>
    <t>(Note L)</t>
  </si>
  <si>
    <t>(Note M)</t>
  </si>
  <si>
    <t>Portion of Account 456.1</t>
  </si>
  <si>
    <t>Notes K, Q &amp; R from Attachment H</t>
  </si>
  <si>
    <t>Quarter (Note A)</t>
  </si>
  <si>
    <t>Interest rate for the Quarter pursuant to Section 35.19(a)</t>
  </si>
  <si>
    <t>Note A:</t>
  </si>
  <si>
    <t>Lines 1-7 are the FERC interest rate under section 35.19(a) of the regulations for the period shown.</t>
  </si>
  <si>
    <t>Line 8 is the average of lines 1-7.</t>
  </si>
  <si>
    <t>True-Up Interest Rate</t>
  </si>
  <si>
    <t>2.  The IRR is a discount rate that makes the net present value of a series of cash flows equal to zero.  The IRR equation is shown on line 6.</t>
  </si>
  <si>
    <t xml:space="preserve">5.  The estimate of the average 3 month Libor forward rate for the year on line 23 is that published by Bloomberg Finance L.P. during August of the prior year and is trued-up to actual </t>
  </si>
  <si>
    <t>9. Table 5, Col F calculates the interest on the principle drawn down to date based on the applicable interest on line 25</t>
  </si>
  <si>
    <t xml:space="preserve">12.  The inputs shall be estimated based on the current market conditions and is subject to true up for all inputs , e.g., fees, interest rates, spread, and Table 3 once the </t>
  </si>
  <si>
    <t>Project Name (Notes M &amp; N)</t>
  </si>
  <si>
    <t>N</t>
  </si>
  <si>
    <t xml:space="preserve">Facilities that provide Wholesale Distribution Service are not to be listed as projects on lines 15, the revenue requirements associated with these facilities are calculated on Attachment 11 </t>
  </si>
  <si>
    <t>Attachment 11</t>
  </si>
  <si>
    <t>Wholesale Distribution Service</t>
  </si>
  <si>
    <t>The Use % is the customers NCP load divided by all of the NCP loads on the facilities</t>
  </si>
  <si>
    <t>Page 4 of 6</t>
  </si>
  <si>
    <t>Page 1 of 6</t>
  </si>
  <si>
    <t>Page 2 of 6</t>
  </si>
  <si>
    <t>Page 3 of 6</t>
  </si>
  <si>
    <t xml:space="preserve">  Distribution</t>
  </si>
  <si>
    <t xml:space="preserve">ADJUSTMENTS TO RATE BASE  </t>
  </si>
  <si>
    <t xml:space="preserve">GROSS PLANT IN SERVICE  </t>
  </si>
  <si>
    <t>(Sum of Lines 14 through 16)</t>
  </si>
  <si>
    <t>(Sum of Lines 7 through 9)</t>
  </si>
  <si>
    <t>(Sum of Lines 2 through 5)</t>
  </si>
  <si>
    <t>Alloc</t>
  </si>
  <si>
    <t>(line 7 / line 10)</t>
  </si>
  <si>
    <t>(line 6)</t>
  </si>
  <si>
    <t>a</t>
  </si>
  <si>
    <t>b</t>
  </si>
  <si>
    <t>c</t>
  </si>
  <si>
    <t>d</t>
  </si>
  <si>
    <t>z</t>
  </si>
  <si>
    <t xml:space="preserve">DISTRIBUTION LAND HELD FOR FUTURE USE  </t>
  </si>
  <si>
    <t xml:space="preserve">  Distribution Materials &amp; Supplies</t>
  </si>
  <si>
    <t>227.9.c for end of year, records for other months</t>
  </si>
  <si>
    <t>(Sum of Lines 1, 2, 6, 7, less Lines 3, 4, 5)</t>
  </si>
  <si>
    <t>(Sum of Lines 10 through 12)</t>
  </si>
  <si>
    <t xml:space="preserve">336.8.b, d &amp;e </t>
  </si>
  <si>
    <t xml:space="preserve">DEPRECIATION EXPENSE  </t>
  </si>
  <si>
    <t>(Sum of Lines 16 through 22)</t>
  </si>
  <si>
    <t>(Line 29 times Line 30)</t>
  </si>
  <si>
    <t>(Line 29 times Line 31)</t>
  </si>
  <si>
    <t>(Line 29 times Line 32)</t>
  </si>
  <si>
    <t>(Sum of Lines 33 through 36)</t>
  </si>
  <si>
    <t>Gross Plant</t>
  </si>
  <si>
    <t>Net Plant</t>
  </si>
  <si>
    <t>Allocation Factor</t>
  </si>
  <si>
    <t>Distribution</t>
  </si>
  <si>
    <t>Annual Allocation Factor for Expense, Page 6 line 18</t>
  </si>
  <si>
    <t>Annual Allocation Factor for Return, Page 6 line 19</t>
  </si>
  <si>
    <t>Page 5 lines 8 and 23, col 5</t>
  </si>
  <si>
    <t>Page 5 lines 37 and 39, col 5</t>
  </si>
  <si>
    <t>Total Annual Revenue Requirement  (Col. 9 *10)</t>
  </si>
  <si>
    <t>(Sum Col. 9 &amp; 10)</t>
  </si>
  <si>
    <t>(Sum Col. 4, 7 &amp; 8)</t>
  </si>
  <si>
    <t>(Col. 5 * Col. 6)</t>
  </si>
  <si>
    <t>(Col. 2 * Col. 3)</t>
  </si>
  <si>
    <t>Example 1</t>
  </si>
  <si>
    <t xml:space="preserve">   Ct is the cash flow (Table 5, Col. I in each quarter)</t>
  </si>
  <si>
    <t xml:space="preserve">6.  Table 5, Col. C reflect the capital expenditures in each quarter </t>
  </si>
  <si>
    <t xml:space="preserve">7.  Table 5, Col. D reflect the amount of the loan that is drawn down in the quarter </t>
  </si>
  <si>
    <t>Where A =</t>
  </si>
  <si>
    <t>A x (line 21, Col. (b)/4) + sum of line 17, Col. (c) through line 21x, Col. (c)</t>
  </si>
  <si>
    <t>Loan amount in line 1 less the amount drawn down (Table 5, Col. (E)) in the prior quarter</t>
  </si>
  <si>
    <t>Table 1</t>
  </si>
  <si>
    <t>Table 2</t>
  </si>
  <si>
    <t>Table 3</t>
  </si>
  <si>
    <t>Table 4</t>
  </si>
  <si>
    <t>Table 5</t>
  </si>
  <si>
    <t xml:space="preserve">   The Excel ™ formula on line 2 is :  (round(XIRR(first quarter of loan Col A of Table 5:last quarter of loan Col A of Table 5, first quarter of loan Col I of Table 5: last quarter of loan Col I of Table 5, 8%),4)</t>
  </si>
  <si>
    <t xml:space="preserve">     average 3 month Libor rate for the year under the loan.  </t>
  </si>
  <si>
    <t>8.  Table 5, Col. E is the amount of principle drawn down</t>
  </si>
  <si>
    <t xml:space="preserve">10.  Table 5, Col. G is the total origination fees in line 16 and is input in the first quarter that a portion of the loan in drawn </t>
  </si>
  <si>
    <t>11.  Table 5, Col. H is calculated as follows:</t>
  </si>
  <si>
    <t>over the remaining months of the Rate Year.</t>
  </si>
  <si>
    <t>GENERAL AND INTANGIBLE</t>
  </si>
  <si>
    <t xml:space="preserve">Electric Intangible Franchises and Transmission Land Rights are amortized </t>
  </si>
  <si>
    <t xml:space="preserve">   over the life of the franchise agreement or land right.</t>
  </si>
  <si>
    <t xml:space="preserve">4) Interest from Attachment 6. </t>
  </si>
  <si>
    <t>11a</t>
  </si>
  <si>
    <t>11b</t>
  </si>
  <si>
    <t>11c</t>
  </si>
  <si>
    <t>L</t>
  </si>
  <si>
    <t>Date Payments Received</t>
  </si>
  <si>
    <t>Rate (line 8)</t>
  </si>
  <si>
    <t>South Central MCN LLC</t>
  </si>
  <si>
    <r>
      <t>The revenues credited on page 1 lines 2-6 shall include only the amounts received directly (in the case of grandfathered agreements) or from the ISO (for service under this tariff) reflecting the Transmission Owner's integrated transmission facilities.  Revenue Credits do not include revenues associated with FERC annual charges, gross receipts taxes,</t>
    </r>
    <r>
      <rPr>
        <strike/>
        <sz val="10"/>
        <rFont val="Times New Roman"/>
        <family val="1"/>
      </rPr>
      <t xml:space="preserve"> </t>
    </r>
    <r>
      <rPr>
        <sz val="10"/>
        <rFont val="Times New Roman"/>
        <family val="1"/>
      </rPr>
      <t>facilities not included in this template (e.g., direct assignment facilities and GSUs) the costs of which are not recovered under this Rate Formula Template.</t>
    </r>
  </si>
  <si>
    <t xml:space="preserve">Recovery of Regulatory Assets is permitted only for pre-commercial and formation expenses as authorized by the Commission.  Recovery of any other regulatory assets requires authorization from the Commission. A carrying charge equal to the AFUDC rate will be applied to the Regulatory Asset prior to the rate year when costs are first recovered. </t>
  </si>
  <si>
    <t>Unamortized Abandoned Plant and Amortization of Abandoned Plant will be zero until the Commission accepts or approves recovery of the cost of abandoned plant.  Utility must receive FERC authorization before recovering the cost of abandoned plant.</t>
  </si>
  <si>
    <t>Project Net Plant is the Project Gross Plant Identified in Column 3 less the associated Accumulated Depreciation.  Net Plant includes CWIP and Unamortized Abandoned Plant and excludes any regulatory asset, which are to entered as a separate line item.</t>
  </si>
  <si>
    <t>Affiliate</t>
  </si>
  <si>
    <t xml:space="preserve">Interest is calculated by taking the interest rate in line 8 and applying it monthly to the balances in Column C-N (i.e., for January 12/12* Column O, February 11/12* Column O, etc.) </t>
  </si>
  <si>
    <t>When an updated projected net revenue requirement is posted due to an asset acquisition as provided for in the Protocols, the difference between the updated net revenue requirement in Col (16) and the revenues collected to date will be recovered</t>
  </si>
  <si>
    <t>Attachment 5, line 36, col e</t>
  </si>
  <si>
    <t>263.i Attach. 5, Line 26, Col. (h)</t>
  </si>
  <si>
    <t>201.3.d</t>
  </si>
  <si>
    <t xml:space="preserve">Attach 5, line 36, col (a) </t>
  </si>
  <si>
    <t xml:space="preserve">(Note M) Attach 5, line 36, col (b) </t>
  </si>
  <si>
    <t xml:space="preserve">Attach 5, line 36, col (c) </t>
  </si>
  <si>
    <t xml:space="preserve">Attach 5, line 36, col (d) </t>
  </si>
  <si>
    <t xml:space="preserve">Page 3, Line 6 - EPRI Annual Membership Dues listed in Form 1 at 353.f, all Regulatory Commission Expenses itemized at 351.h, and non-safety related advertising included in Account 930.1 found at 323.191.b.  Page 3, Line 7-Regulatory Commission Expenses directly related to transmission service, ISO filings, or transmission siting itemized at 351.h. </t>
  </si>
  <si>
    <t>214.x.d for end of year, records for other months</t>
  </si>
  <si>
    <t>1) From Attachment 1, line 15, col. 14 for the projection for the Rate Year.</t>
  </si>
  <si>
    <t>Actual</t>
  </si>
  <si>
    <t>Projected</t>
  </si>
  <si>
    <t>(E, Line 2 ) x (D)</t>
  </si>
  <si>
    <t>Collection  (F)-(E)</t>
  </si>
  <si>
    <t>(G) + (H) + (I)</t>
  </si>
  <si>
    <t>3) The "Revenue Received" on line 2, Col. (E), is the total amount of revenue distributed to company in the  year as shown on  pages 328-330 of the Form No 1. The Revenue Received is input on line 2, Col. E excludes any True-Up revenues.</t>
  </si>
  <si>
    <t xml:space="preserve">      Column E, lines 3 are the dollar amounts of Revenue Received reflecting the % in Column D.  This assigns to each project a percentage of the revenue received based on the percentage of the Projected Net Revenue Requirement in Column C.</t>
  </si>
  <si>
    <t>5)  Prior Period Adjustment from line 5 is pro rata  to each project, unless the error was project specific.</t>
  </si>
  <si>
    <t>Rate Year being Trued-Up</t>
  </si>
  <si>
    <t>Revenue Requirement Projected</t>
  </si>
  <si>
    <t>For Rate Year</t>
  </si>
  <si>
    <t>True-Up Adjustment is calculated on the Project True-up Schedule for the Rate Year</t>
  </si>
  <si>
    <t>For each project or Attachment H, the utility will populate the formula rate with the inputs for the True-Up Year.  The revenue requirements, based on actual operating results for the True-Up Year, associated with the projects and Attachment H will then be entered in Col. (F) above.  Column (E) above contains the actual revenues received associated with Attachment H and any Projects paid by SPP to the utility during the True-Up Year.   Then in Col. (G), Col. (E) is subtracted from Col. (F) to calculate the True-up Adjustment.  The Prior Period Adjustment from Line 5 below is input in Col. (H).  Column (I) is the applicable interest rate from Attachment 6.  Column (I) adds the interest on the sum of Col.(G) and  (H).  Col. (J) is the sum of Col. (G), (H), and (I).</t>
  </si>
  <si>
    <t>Page 1 of 1</t>
  </si>
  <si>
    <t>263.i</t>
  </si>
  <si>
    <t>(sum lines 41-43)</t>
  </si>
  <si>
    <t>(Sum of Lines 45-47)</t>
  </si>
  <si>
    <t>Preferred Stock balance will reflect the 13 month average of the balances, of which the 1st and 13th are found on page 112 line 3.c &amp; d in the Form No. 1</t>
  </si>
  <si>
    <t>Common Stock balance will reflect the 13 month average of the balances, of which the 1st and 13th are found on page 112 lines 3.c &amp; d,  12.c &amp; d, and 16.c &amp; d in the Form No. 1 as shown on lines 41-44 above</t>
  </si>
  <si>
    <t xml:space="preserve">4.  Lines 11-21a include the fees associated with the loan.  They are estimated based on current bank condition and are updated with the actual fees </t>
  </si>
  <si>
    <t>Over (Under) Recovery</t>
  </si>
  <si>
    <t>Rate Year</t>
  </si>
  <si>
    <t>Refund/Surcharge Interest Rate Calculated on Attachment 6 for the Rate Year</t>
  </si>
  <si>
    <t>From Column (g)</t>
  </si>
  <si>
    <t xml:space="preserve">Above for the </t>
  </si>
  <si>
    <t>Weighting</t>
  </si>
  <si>
    <t>Col (c) x Col (d) x</t>
  </si>
  <si>
    <t>Col (e) x -1</t>
  </si>
  <si>
    <t>Total Amount of True-Up Adjustment for 2017 ATRR</t>
  </si>
  <si>
    <t>Total Amount of True-Up Adjustment for 2018 ATRR</t>
  </si>
  <si>
    <t>Total Amount of True-Up Adjustment for 2019 ATRR</t>
  </si>
  <si>
    <t>Total Amount of Construction Loan Related True-Up with Interest (Refund)/Owed (Total Amount of True-Up Adjustment below for the Rate Year)</t>
  </si>
  <si>
    <t>Cost of Debt Used in Determining the Actual Net Revenue Requirement in Attachment H, page 4, line 20</t>
  </si>
  <si>
    <t>Notes are on Page 2</t>
  </si>
  <si>
    <t>Annual Allocation Factor for Expense, Page 1 line 11</t>
  </si>
  <si>
    <t>Project Net Plant     (Note G)</t>
  </si>
  <si>
    <t>Project Depreciation/Amortization Expense   (Notes F &amp; G)</t>
  </si>
  <si>
    <t>Use %   (Note H)</t>
  </si>
  <si>
    <t xml:space="preserve">Annual Revenue Requirement </t>
  </si>
  <si>
    <t>Page 5 of 6</t>
  </si>
  <si>
    <t>Page 6 of 6</t>
  </si>
  <si>
    <t>Accumulated</t>
  </si>
  <si>
    <t>Depreciation</t>
  </si>
  <si>
    <t>Unfunded Reserves    (Notes A &amp; B)</t>
  </si>
  <si>
    <t>35a</t>
  </si>
  <si>
    <t>35b</t>
  </si>
  <si>
    <t>35c</t>
  </si>
  <si>
    <t>219.26.b for end of year, records for other months</t>
  </si>
  <si>
    <t>The allocators are shown on</t>
  </si>
  <si>
    <t xml:space="preserve"> Pages 4 and 6     (DA equals 1)</t>
  </si>
  <si>
    <t>Use % (Note A)</t>
  </si>
  <si>
    <t>Note A    The Use % is the customers NCP load divided by all of the NCP loads on the facilities</t>
  </si>
  <si>
    <t>322.156.b</t>
  </si>
  <si>
    <t>Amount / Gross Plant</t>
  </si>
  <si>
    <t xml:space="preserve">Note B    The Wholesale Distribution Revenue Requirement is projected using either pages 1-2 or 4-6. The same pages are populated with actual data and the difference with interest is calculated on Attachment 3 </t>
  </si>
  <si>
    <t>2) From Attachment 1, line 15, col. 14 for that project based on the actual costs for the Rate Year.</t>
  </si>
  <si>
    <t xml:space="preserve">     T=1 - {[(1 - SIT) * (1 - FIT)] / (1 - SIT * FIT * p)}</t>
  </si>
  <si>
    <t>Long Term Debt balance will reflect the 13 month average of the balances, of which the 1st and 13th are found on page 112 lines 18.c &amp; d to 21.c &amp; d in the Form No. 1, the cost is calculated by dividing line 39 by the Long Term Debt balance in line 45.</t>
  </si>
  <si>
    <t>Notes A-H refer to the notes at the bottom of page 2 of 6 of this Attachment</t>
  </si>
  <si>
    <t xml:space="preserve">ACCUMULATED DEPRECIATION </t>
  </si>
  <si>
    <t xml:space="preserve">COMMON PLANT ALLOCATOR  (CE)  </t>
  </si>
  <si>
    <t>(Page 6, Line 33, Col. (c)</t>
  </si>
  <si>
    <t>(Page 6, Line 36, Col. (h)</t>
  </si>
  <si>
    <t>(Page 6, Line 33, Col. (d)</t>
  </si>
  <si>
    <t>(Page 6, Line 33, Col. (e)</t>
  </si>
  <si>
    <t>Page 1 of 3</t>
  </si>
  <si>
    <t>Page 2 of 3</t>
  </si>
  <si>
    <t>Page 1 of 2</t>
  </si>
  <si>
    <t>Page 3 of 3</t>
  </si>
  <si>
    <t xml:space="preserve">Note 2: </t>
  </si>
  <si>
    <t>205 or 206 filing</t>
  </si>
  <si>
    <t xml:space="preserve"> Column (f) above Divided by the</t>
  </si>
  <si>
    <t>Number of Months the Rate was in Effect</t>
  </si>
  <si>
    <t>(Line 1, Column f)</t>
  </si>
  <si>
    <t>(Line 2, Column f)</t>
  </si>
  <si>
    <t>(Line 62 + line 63)</t>
  </si>
  <si>
    <t>(Line 111 + line 112)</t>
  </si>
  <si>
    <t>(Line 3, Column f)</t>
  </si>
  <si>
    <t>(Line 155 + line 156)</t>
  </si>
  <si>
    <t>(Line 4, Column f)</t>
  </si>
  <si>
    <t>(Line 202 + line 203)</t>
  </si>
  <si>
    <t>(Line 5, Column f)</t>
  </si>
  <si>
    <t>(Line 244 + line 245)</t>
  </si>
  <si>
    <t>Project Net Plant is the Project Gross Plant Identified in Column 2 less the associated Accumulated Depreciation.  Net Plant includes CWIP and Unamortized Abandoned Plant and excludes any regulatory asset, which are to entered as a separate line item.</t>
  </si>
  <si>
    <t>If a portion of the projects revenue requirement is assessed to more than one customer, the project will be entered in a row for each customer seperately, such that the total of the revenue requirements for each customer equals the revenue requirement for that project.</t>
  </si>
  <si>
    <t>Pages 1-2 are to be filed out if the facilities providing Wholesale Distribution Service are booked to transmission.  If the facilities are booked to Distribution, see pages 3-6</t>
  </si>
  <si>
    <t>Wholesale Distribution Project True-Up</t>
  </si>
  <si>
    <t>Attachment 12</t>
  </si>
  <si>
    <t>For each project or Attachment 11 or 11a, the utility will populate the formula rate with the inputs for the True-Up Year.  The revenue requirements, based on actual operating results for the True-Up Year, associated with the projects and Attachment H will then be entered in Col. (F) above.  Column (E) above contains the actual revenues received associated with Attachment 11 and 11a and any Wholesale Distribution service paid by SPP to the utility during the True-Up Year.   Then in Col. (G), Col. (E) is subtracted from Col. (F) to calculate the True-up Adjustment.  The Prior Period Adjustment from Line 5 below is input in Col. (H).  Column (I) is the applicable interest rate from Attachment 6.  Column (I) adds the interest on the sum of Col.(G) and  (H).  Col. (J) is the sum of Col. (G), (H), and (I).</t>
  </si>
  <si>
    <t>1) From Attachment 11, page 2, line 15, col. 11 and Attachment 11a, page 3, col. 11 for the projection for the Rate Year.</t>
  </si>
  <si>
    <t>2) From Attachment 11, page 2, line 15, col. 11 and Attachment 11a, page 3, col. 11 for that project based on the actual costs for the Rate Year.</t>
  </si>
  <si>
    <t>3) The "Revenue Received" on line 2, Col. (E), is the total amount of revenue distributed to company for Wholesale Distribution service. The Revenue Received is input on line 2, Col. E excludes any True-Up revenues.</t>
  </si>
  <si>
    <t>Attach H, p 2, line 16 col 5 plus line 27 &amp; 29 col 5</t>
  </si>
  <si>
    <t xml:space="preserve">   plus the interest rate in line 8 times 1.5 times the sum of the balances for January through December.   Multiplying the monthly balances times the interest rate provides the interest in the year of the over or under collection and</t>
  </si>
  <si>
    <t xml:space="preserve">  adding the interest rate in line 8 times 1.5 times the sum of the the balances for January through December provides the interest for the balance of the 24 month period  </t>
  </si>
  <si>
    <t xml:space="preserve">The Wholesale Distribution Revenue Requirement is projected using either pages 1-2 or 4-6. The same pages are populated with actual data and the difference with interest is calculated on Attachment 12 </t>
  </si>
  <si>
    <t>1/8*(Page 3, Col 3, Line 14 minus Page 3, Col 3, Line 11)</t>
  </si>
  <si>
    <t>201.3.e, f, and g</t>
  </si>
  <si>
    <t xml:space="preserve">Less Preferred Stock (112.3.c) </t>
  </si>
  <si>
    <t>Annual Revenue Requirement (Col.  4, 7 &amp; 8)</t>
  </si>
  <si>
    <t>(Page 6, Line 33, Col. (b)</t>
  </si>
  <si>
    <t>1/8*(Page 5, Line 8)</t>
  </si>
  <si>
    <t>(Page 4, Line 37 times Page 6, Line 17, Col. 5)</t>
  </si>
  <si>
    <t>(Sum of Lines 8, 13, 23, 37 &amp; 39)</t>
  </si>
  <si>
    <t xml:space="preserve">(Excess)/Deficient Deferred Income Taxes </t>
  </si>
  <si>
    <t>Attach. 5, Line 26, Col. (j)</t>
  </si>
  <si>
    <t xml:space="preserve">(Excess)/Deficient Deferred Income Tax Adjustment </t>
  </si>
  <si>
    <t>The currently effective income tax rate, where FIT is the weighted average Federal income tax rate; SIT is the weighted average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Excess Deferred Income Taxes reduce income tax expense by the amount of the expense multiplied by (T/1-T).</t>
  </si>
  <si>
    <t>(Weighted Average State Income Tax Rate or Composite Rate)</t>
  </si>
  <si>
    <t xml:space="preserve">       and FIT, SIT &amp; p are as given in Attachment H, Note G.</t>
  </si>
  <si>
    <t>(Excess)/Deficient Deferred Income Taxes</t>
  </si>
  <si>
    <t>Attachment 4a - Accumulated Deferred Income Taxes (ADIT) Average Worksheet (Projection)</t>
  </si>
  <si>
    <t>Ln</t>
  </si>
  <si>
    <t>Beginning Balance &amp; Monthly Changes</t>
  </si>
  <si>
    <t xml:space="preserve">Balance </t>
  </si>
  <si>
    <t>Transmission Related</t>
  </si>
  <si>
    <t>Plant Related</t>
  </si>
  <si>
    <t>Labor Related</t>
  </si>
  <si>
    <t>Total
(Sum Col. (e), (f) &amp; (g))</t>
  </si>
  <si>
    <t>ADIT-282</t>
  </si>
  <si>
    <t>Balance-BOY (Attach 4c, Line 30)</t>
  </si>
  <si>
    <t>Total Plant Allocator</t>
  </si>
  <si>
    <t>Net Plant Allocator</t>
  </si>
  <si>
    <t>Attachment H, Page 2, Line 20</t>
  </si>
  <si>
    <t>Wages &amp; Salary Allocator</t>
  </si>
  <si>
    <t>Attachment H, Page 4, Line 11</t>
  </si>
  <si>
    <t>Projected ADIT Total</t>
  </si>
  <si>
    <t>ADIT-283</t>
  </si>
  <si>
    <t>Balance-BOY (Attach 4c, Line 44)</t>
  </si>
  <si>
    <t>ADIT-190</t>
  </si>
  <si>
    <t>Balance-BOY (Attach 4c, Line 18)</t>
  </si>
  <si>
    <t>Attachment 4b - Accumulated Deferred Income Taxes (ADIT) Proration Worksheet (Projection)</t>
  </si>
  <si>
    <t>Weighting for Projection</t>
  </si>
  <si>
    <t>Beginning Balance/
Monthly Increment</t>
  </si>
  <si>
    <t>Transmission Proration
(d) x (f)</t>
  </si>
  <si>
    <t>Plant Proration
(d) x (h)</t>
  </si>
  <si>
    <t>Labor Proration
(d) x (j)</t>
  </si>
  <si>
    <r>
      <t>ADIT-282-Proration-</t>
    </r>
    <r>
      <rPr>
        <b/>
        <sz val="10"/>
        <color rgb="FFFF0000"/>
        <rFont val="Arial Narrow"/>
        <family val="2"/>
      </rPr>
      <t>Note A</t>
    </r>
  </si>
  <si>
    <t>Balance (Attach 4c, Line 30)</t>
  </si>
  <si>
    <t>Increment</t>
  </si>
  <si>
    <t>ADIT 282-Prorated EOY Balance</t>
  </si>
  <si>
    <r>
      <t>ADIT-283-Proration-</t>
    </r>
    <r>
      <rPr>
        <b/>
        <sz val="10"/>
        <color rgb="FFFF0000"/>
        <rFont val="Arial Narrow"/>
        <family val="2"/>
      </rPr>
      <t>Note B</t>
    </r>
  </si>
  <si>
    <t>Balance (Attach 4c, Line 44)</t>
  </si>
  <si>
    <t>ADIT 283-Prorated EOY Balance</t>
  </si>
  <si>
    <r>
      <t>ADIT-190-Proration-</t>
    </r>
    <r>
      <rPr>
        <b/>
        <sz val="10"/>
        <color rgb="FFFF0000"/>
        <rFont val="Arial Narrow"/>
        <family val="2"/>
      </rPr>
      <t>Note C</t>
    </r>
  </si>
  <si>
    <t>Balance (Attach 4c, Line 18)</t>
  </si>
  <si>
    <t>ADIT 190-Prorated EOY Balance</t>
  </si>
  <si>
    <t>Note 1</t>
  </si>
  <si>
    <t>Uses a 365 day calendar year.</t>
  </si>
  <si>
    <t>Note 2</t>
  </si>
  <si>
    <t>Projected end of year ADIT must be based on solely on enacted tax law.  No assumptions for future estimated changes in tax law may be forecasted.</t>
  </si>
  <si>
    <t>Substantial portion, if not all, of the ADIT-282 balance is subject to proration.  Explanation must be provided for any portion of balance not subject to proration.</t>
  </si>
  <si>
    <t>Only amounts in ADIT-283 relating to Depreciation, if applicable, are subject to proration.  See Line 44 in Attach 4c and 4d.</t>
  </si>
  <si>
    <t>Only amounts in ADIT-190 related to NOL carryforwards, if applicable, are subject to proration.  See Line 18 in Attach 4c and 4d.</t>
  </si>
  <si>
    <t>Attachment 4c - Accumulated Deferred Income Taxes (ADIT) Worksheet (Beginning of Year)</t>
  </si>
  <si>
    <t>Item</t>
  </si>
  <si>
    <t>Line 30</t>
  </si>
  <si>
    <t>Line 44</t>
  </si>
  <si>
    <t>Line 18</t>
  </si>
  <si>
    <t>Subtotal</t>
  </si>
  <si>
    <t>Sum of Lines 1-4</t>
  </si>
  <si>
    <t xml:space="preserve">In filling out this attachment, a full and complete description of each item and justification for the allocation to Columns B-F and each separate ADIT item will be listed.  Dissimilar items with amounts exceeding $100,000 will be listed separately. </t>
  </si>
  <si>
    <t>Gas, Prod or Other Related</t>
  </si>
  <si>
    <t>Justification</t>
  </si>
  <si>
    <t>NOL Carryforward</t>
  </si>
  <si>
    <t>Amount subject to Proration</t>
  </si>
  <si>
    <t>Subtotal - p234.b</t>
  </si>
  <si>
    <t>Less FASB 109 Above if not separately removed</t>
  </si>
  <si>
    <t>Less FASB 106 Above if not separately removed</t>
  </si>
  <si>
    <t>Instructions for Account 190:</t>
  </si>
  <si>
    <t>1.  ADIT items related only to Non-Electric Operations (e.g., Gas, Water, Sewer) or Production are directly assigned to Column C</t>
  </si>
  <si>
    <t>2.  ADIT items related only to Transmission are directly assigned to Column D</t>
  </si>
  <si>
    <t>3.  ADIT items related to Plant and not in Columns C &amp; D are included in Column E</t>
  </si>
  <si>
    <t>4.  ADIT items related to labor and not in Columns C &amp; D are included in Column F</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</si>
  <si>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</si>
  <si>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ADIT- 282</t>
  </si>
  <si>
    <t xml:space="preserve">Subtotal - p274.b </t>
  </si>
  <si>
    <t>Instructions for Account 282:</t>
  </si>
  <si>
    <t>ADIT- 283</t>
  </si>
  <si>
    <t xml:space="preserve">Subtotal - p276.b  </t>
  </si>
  <si>
    <t>Instructions for Account 283:</t>
  </si>
  <si>
    <t>Attachment 4d - Accumulated Deferred Income Taxes (ADIT) Worksheet (End of Year)</t>
  </si>
  <si>
    <t xml:space="preserve">In filling out this attachment, a full and complete description of each item and justification for the allocation to Columns B-F and each separate ADIT item will be listed.  Dissimilar items with amounts exceeding $100,000 will be listed separately.  </t>
  </si>
  <si>
    <t>Subtotal - p234.c</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</si>
  <si>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</si>
  <si>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 xml:space="preserve">Subtotal - p275.k </t>
  </si>
  <si>
    <t xml:space="preserve">Subtotal - p277.k  </t>
  </si>
  <si>
    <t>Attachment 4e - Accumulated Deferred Income Taxes (ADIT) Average Worksheet (True-Up)</t>
  </si>
  <si>
    <t>Attachment 4a or 4e</t>
  </si>
  <si>
    <t>Enter as negative Attachment 4, Page 1, Line 28 for Projection</t>
  </si>
  <si>
    <t>Enter as negative Attachment 4, Page 1, Line 28 for True-up</t>
  </si>
  <si>
    <t>Calculate using 13 month average balance, except ADIT which is calculated in Note D.</t>
  </si>
  <si>
    <t>Prior to obtaining long term debt, the cost of debt, will be 1.99%.  If SCMCN obtains project financing, the long term debt rate will be determined using the methodology in Attachment 8 and Attachment 8 contains a hypothetical example of the internal rate of return methodology; the methodology will be applied to actual amounts for use in Attachment H.  Once SCMCN has long term debt, SCMCN will use its actual cost of long term debt determined in Attachment 5.    The capital structure will be 60% equity and 40% debt during the construction period, after any asset is placed in service, it will be based on the actual capital structure, but capped at 60% equity.</t>
  </si>
  <si>
    <t>13.  Prior to obtaining long term debt, the cost of debt, will be 1.99%.  If SCMCN obtains project financing, the long term debt rate will be determined using the methodology in Attachment 8 and Attachment 8 contains a hypothetical example of the internal rate of return methodology; the methodology will be applied to actual amounts for use in Attachment H.  Once SCMCN has long term debt, SCMCN will use the its actual cost of long term debt determined in Attachment 5.    The capital structure will be 60% equity and 40% debt during the construction period, after any asset is placed in service, it will be based on the actual capital structure.</t>
  </si>
  <si>
    <t>Calculate using 13 month average balance, except ADIT which is calculated based on the average of the beginning balance and a prorated end of year balance as required by Section 1.167(l)-1(h)(6)(ii) of the IRS regulations for purposes of rate projections. An annual true-up is calculated based on an average of the actual beginning of the year and end of the year balances.</t>
  </si>
  <si>
    <t>DP</t>
  </si>
  <si>
    <t>Balance-EOY-Prorated (Attach 4b, Line 14)</t>
  </si>
  <si>
    <t>Balance-EOY-Total (Lines 2+3)</t>
  </si>
  <si>
    <t>Balance-EOY-Total (Lines 9+10)</t>
  </si>
  <si>
    <t>Balance-EOY-Total (Lines 17+18)</t>
  </si>
  <si>
    <t>Balance-EOY-Prorated (Attach 4b, Line 28)</t>
  </si>
  <si>
    <t>Balance-EOY-Prorated (Attach 4b, Line 42)</t>
  </si>
  <si>
    <t>Attachment 4f - Accumulated Deferred Income Taxes (ADIT) Proration Worksheet (True-up)</t>
  </si>
  <si>
    <t xml:space="preserve">Monthly Increment </t>
  </si>
  <si>
    <t>Proration
(d) x (e)</t>
  </si>
  <si>
    <t>Prorated Projected Balance (Cumulative Sum of f)</t>
  </si>
  <si>
    <t>Actual Monthly Activity</t>
  </si>
  <si>
    <t>Difference between projected and actual activity</t>
  </si>
  <si>
    <t>Partially prorate actual activity above Monthly projection</t>
  </si>
  <si>
    <t>Partially prorate actual activity below Monthly projection but increases ADIT</t>
  </si>
  <si>
    <t>Partially prorate actual activity below Monthly projection and is a reduction to ADIT</t>
  </si>
  <si>
    <t>Partially prorated actual balance</t>
  </si>
  <si>
    <r>
      <t>ADIT-282-Proration-</t>
    </r>
    <r>
      <rPr>
        <b/>
        <sz val="10"/>
        <color rgb="FFFF0000"/>
        <rFont val="Times New Roman"/>
        <family val="1"/>
      </rPr>
      <t>Note A</t>
    </r>
  </si>
  <si>
    <r>
      <t>ADIT-283-Proration-</t>
    </r>
    <r>
      <rPr>
        <b/>
        <sz val="10"/>
        <color rgb="FFFF0000"/>
        <rFont val="Times New Roman"/>
        <family val="1"/>
      </rPr>
      <t>Note B</t>
    </r>
  </si>
  <si>
    <r>
      <t>ADIT-190-Proration-</t>
    </r>
    <r>
      <rPr>
        <b/>
        <sz val="10"/>
        <color rgb="FFFF0000"/>
        <rFont val="Times New Roman"/>
        <family val="1"/>
      </rPr>
      <t>Note C</t>
    </r>
  </si>
  <si>
    <t>Balance-EOY-Prorated (Attach 4f, Line 14)</t>
  </si>
  <si>
    <t>Balance-EOY-Prorated (Attach 4f, Line 28)</t>
  </si>
  <si>
    <t>Balance-EOY-Prorated (Attach 4f, Line 42)</t>
  </si>
  <si>
    <t>Calculate using 13 month average balance, except ADIT which is calculated based on the prorated end of year balances as required by Section 1.167(l)-1(h)(6) of the IRS regulations for purposes of rate projections. An annual true-up is calculated based on an average of the actual beginning of the year and end of the year balances for non-plant related ADIT and prorated beginning and end of year balances for plant related ADIT.</t>
  </si>
  <si>
    <t>For rate projections and the annual true-up, ADIT is computed using the prorated end of the year balances as required by Section 1.167(l)-1(h)(6) of the IRS regulations. Attachment 4a calculates the projected ADIT balances on line 28 above based on the prorated ending ADIT balances as calculated on Attachment 4b. For the annual true-up, Attachment 4e calculates the projected ADIT balances on line 28 above based on the prorated ending ADIT balances as calculated on Attachment 4f.</t>
  </si>
  <si>
    <t>Gridliance High Plains LLC</t>
  </si>
  <si>
    <t>Southeast Missouri Assets (excludes Nixa NTC Project)</t>
  </si>
  <si>
    <t>Zone 10 Schedule 11</t>
  </si>
  <si>
    <t>Nixa NTC Project</t>
  </si>
  <si>
    <t>Zone 14</t>
  </si>
  <si>
    <t>Kansas Assets</t>
  </si>
  <si>
    <t>Zone 14 Schedule 11</t>
  </si>
  <si>
    <t>Winfield NTC Project</t>
  </si>
  <si>
    <t>15d</t>
  </si>
  <si>
    <t>15e</t>
  </si>
  <si>
    <t>15f</t>
  </si>
  <si>
    <t>Zone 10</t>
  </si>
  <si>
    <t>3d</t>
  </si>
  <si>
    <t>3e</t>
  </si>
  <si>
    <t>(Excess)/Deficient Deferred Income Taxes - Protected</t>
  </si>
  <si>
    <t>(Excess)/Deficient Deferred Income Taxes - Unprotected</t>
  </si>
  <si>
    <t>Plant related</t>
  </si>
  <si>
    <t>Balance-EOY (Attach 4d, Line 30 less Line 27)</t>
  </si>
  <si>
    <t>Balance-EOY (Attach 4d, Line 44 less Line 41)</t>
  </si>
  <si>
    <t>Balance-EOY (Attach 4d, Line 18 less Line 15)</t>
  </si>
  <si>
    <t xml:space="preserve">WCLTD = Page 4, Line 20 </t>
  </si>
  <si>
    <t>R = Page 4, Line 23</t>
  </si>
  <si>
    <t>(Federal Income Tax Rate)</t>
  </si>
  <si>
    <t>(Line 33 times Line 46)</t>
  </si>
  <si>
    <t>Attachment H, Page 3, Line 40</t>
  </si>
  <si>
    <t>Income Tax Calculation</t>
  </si>
  <si>
    <t>(Line 26 times line 39)</t>
  </si>
  <si>
    <t>**</t>
  </si>
  <si>
    <t>Calculation of Applicable Interest Expense for each ATRR period</t>
  </si>
  <si>
    <t>Calculated Interest</t>
  </si>
  <si>
    <t>Annual</t>
  </si>
  <si>
    <t>(Sum lines 48-59, column f)</t>
  </si>
  <si>
    <t>(Sum lines 97-108, column f)</t>
  </si>
  <si>
    <t>(Sum lines 141 - 152, column f)</t>
  </si>
  <si>
    <t>(Sum lines 188 -199 column f)</t>
  </si>
  <si>
    <t>(Sum lines 230 - 241, column f)</t>
  </si>
  <si>
    <t xml:space="preserve">GidLiance High Plains depreciation and amortization rates may not be changed absent a section </t>
  </si>
  <si>
    <t>Kansas Assets (excludes Winfield NTC Project)</t>
  </si>
  <si>
    <t>Zone 10 (2020 Remaining True-up)</t>
  </si>
  <si>
    <t>Zone 10 Schedule 11  (2020 Remaining True-up)</t>
  </si>
  <si>
    <t>1st Qtr.</t>
  </si>
  <si>
    <t>GL High Plains</t>
  </si>
  <si>
    <t>Denotes Manual Input Fields</t>
  </si>
  <si>
    <t>Deferreds</t>
  </si>
  <si>
    <t>GL High Plains (1314A &amp; B)</t>
  </si>
  <si>
    <t>Fed Rate</t>
  </si>
  <si>
    <t/>
  </si>
  <si>
    <t>State Rate</t>
  </si>
  <si>
    <t>Dx</t>
  </si>
  <si>
    <t>Tx</t>
  </si>
  <si>
    <t>FBOS</t>
  </si>
  <si>
    <t>Code</t>
  </si>
  <si>
    <t>Name</t>
  </si>
  <si>
    <t>Ending Balance</t>
  </si>
  <si>
    <t>Current Activity</t>
  </si>
  <si>
    <t>Comments</t>
  </si>
  <si>
    <t>Beginning Balance</t>
  </si>
  <si>
    <t>9190110/9190210</t>
  </si>
  <si>
    <t>DTA - Non Current</t>
  </si>
  <si>
    <t>DEP157</t>
  </si>
  <si>
    <t>Amortization of Book Goodwill</t>
  </si>
  <si>
    <t>Exclude, Below the line</t>
  </si>
  <si>
    <t>RES136</t>
  </si>
  <si>
    <t>Other Accrued Liabilities</t>
  </si>
  <si>
    <t>TAXCR_190</t>
  </si>
  <si>
    <t>ITC &amp; Reg Liabilities</t>
  </si>
  <si>
    <t>Exclude, balance sheet only</t>
  </si>
  <si>
    <t>TAXCR_ST_190</t>
  </si>
  <si>
    <t>FAS109 - 190</t>
  </si>
  <si>
    <t>Total 9190110/9190210</t>
  </si>
  <si>
    <t>9282110/9282210</t>
  </si>
  <si>
    <t>DTL - Property</t>
  </si>
  <si>
    <t>AFD101</t>
  </si>
  <si>
    <t>AFUDC Debt</t>
  </si>
  <si>
    <t>AFUDC_FED_282</t>
  </si>
  <si>
    <t>AFUDC Equity Def Taxes</t>
  </si>
  <si>
    <t>AFUDC_ST_282</t>
  </si>
  <si>
    <t>ATTD_TAX_REFORM_282</t>
  </si>
  <si>
    <t>Excess Deferred Taxes - Tax Reform - 282</t>
  </si>
  <si>
    <t>DEP101</t>
  </si>
  <si>
    <t>Tax Depreciation</t>
  </si>
  <si>
    <t>DEP103</t>
  </si>
  <si>
    <t>Reversal of Book Depreciation</t>
  </si>
  <si>
    <t>DEP106</t>
  </si>
  <si>
    <t>Reclass Book Depr to AFUDC Depr</t>
  </si>
  <si>
    <t>DEP144</t>
  </si>
  <si>
    <t>Tax/Book Depr Diff</t>
  </si>
  <si>
    <t>EMP803</t>
  </si>
  <si>
    <t>Welfare Capitalized</t>
  </si>
  <si>
    <t>INT101</t>
  </si>
  <si>
    <t>Method Life CPI</t>
  </si>
  <si>
    <t>REM101</t>
  </si>
  <si>
    <t>Cost of Removal</t>
  </si>
  <si>
    <t>RSH101</t>
  </si>
  <si>
    <t>Computer Software</t>
  </si>
  <si>
    <t>SAL101</t>
  </si>
  <si>
    <t>Tax Gain/Loss</t>
  </si>
  <si>
    <t>TAXCR_282</t>
  </si>
  <si>
    <t>EQ AFUDC Def TX &amp; SFAS 109</t>
  </si>
  <si>
    <t>Total 9282110/9282210</t>
  </si>
  <si>
    <t>9282800/9190751</t>
  </si>
  <si>
    <t>State NOL</t>
  </si>
  <si>
    <t>Total 9282800/9190751</t>
  </si>
  <si>
    <t>9283110/9283210</t>
  </si>
  <si>
    <t>DTL - Non Current</t>
  </si>
  <si>
    <t>AFD105</t>
  </si>
  <si>
    <t>AFUDC Debt - Carrying Charges</t>
  </si>
  <si>
    <t>AFUDC_FED_283</t>
  </si>
  <si>
    <t>AFUDC Equity Gross-Up</t>
  </si>
  <si>
    <t>AFUDC_ST_283</t>
  </si>
  <si>
    <t>Total 9283110/9283210</t>
  </si>
  <si>
    <t>NextEra Energy, Inc. --- PRODUCTION---</t>
  </si>
  <si>
    <t>SubConsolidated Provision Report (USD)</t>
  </si>
  <si>
    <t>1314A</t>
  </si>
  <si>
    <t>1314B</t>
  </si>
  <si>
    <t>TOTAL</t>
  </si>
  <si>
    <t>GridLiance High Plains - Above</t>
  </si>
  <si>
    <t>GridLiance High Plains - Below</t>
  </si>
  <si>
    <t>Total Pre-Tax Book Income:</t>
  </si>
  <si>
    <t>UPTBI: Pre-Tax Book Income</t>
  </si>
  <si>
    <t>Total Total Pre-Tax Book Income</t>
  </si>
  <si>
    <t>Deductible State Tax:</t>
  </si>
  <si>
    <t>MO: Missouri</t>
  </si>
  <si>
    <t>OK: Oklahoma</t>
  </si>
  <si>
    <t>Total Deductible State Tax</t>
  </si>
  <si>
    <t>Permanent Differences:</t>
  </si>
  <si>
    <t>Annualized</t>
  </si>
  <si>
    <t>Tax Affected</t>
  </si>
  <si>
    <t>AFD102: AFUDC Depreciation</t>
  </si>
  <si>
    <t>Total Permanent Differences</t>
  </si>
  <si>
    <t>Financial Taxable Income</t>
  </si>
  <si>
    <t>Temporary Differences:</t>
  </si>
  <si>
    <t>DEP101: Tax Depreciation</t>
  </si>
  <si>
    <t>DEP103: Reversal of Book Depreciation</t>
  </si>
  <si>
    <t>DEP106: Reclass Book Depr to AFUDC Depr</t>
  </si>
  <si>
    <t>DEP157: Amortization of Book Goodwill</t>
  </si>
  <si>
    <t>EMP803: Welfare Capitalized</t>
  </si>
  <si>
    <t>INT101: Method Life CPI</t>
  </si>
  <si>
    <t>REM101: Cost of Removal</t>
  </si>
  <si>
    <t>RES136: Other Accrued Liabilities</t>
  </si>
  <si>
    <t>SAL101: Tax Gain/Loss</t>
  </si>
  <si>
    <t>Total Temporary Differences</t>
  </si>
  <si>
    <t>Federal Taxable Income (Pre-NOL)</t>
  </si>
  <si>
    <t>NOL Reclass</t>
  </si>
  <si>
    <t>Federal Taxable Income (Post-NOL)</t>
  </si>
  <si>
    <t>Unit Tax Rate</t>
  </si>
  <si>
    <t> </t>
  </si>
  <si>
    <t>Federal Tax - Current</t>
  </si>
  <si>
    <t>After Tax Temp Differences:</t>
  </si>
  <si>
    <t>Total After Tax Temp Differences</t>
  </si>
  <si>
    <t>Cash Tax Adjustments</t>
  </si>
  <si>
    <t>Return Basis Provision</t>
  </si>
  <si>
    <t>True-Ups:</t>
  </si>
  <si>
    <t>Current Deferred Reclass</t>
  </si>
  <si>
    <t>Total True-Ups</t>
  </si>
  <si>
    <t>Non-Cash Tax Adjustments:</t>
  </si>
  <si>
    <t>Total Non-Cash Tax Adjustments</t>
  </si>
  <si>
    <t>Total Current Federal Provision</t>
  </si>
  <si>
    <t>Deferred Tax Provision:</t>
  </si>
  <si>
    <t>BDTPBS: Begin Deferred Tax Per B/S</t>
  </si>
  <si>
    <t>BSO: + Bal Sheet Only Adjustment</t>
  </si>
  <si>
    <t>EDTPBS: - Ending Deferred Tax Per B/S</t>
  </si>
  <si>
    <t>Total Deferred Tax Provision</t>
  </si>
  <si>
    <t>Equity Adjustment</t>
  </si>
  <si>
    <t>Total Federal Tax Provision</t>
  </si>
  <si>
    <t>Total State Tax Provision:</t>
  </si>
  <si>
    <t>SCTP: State Current Tax Provision</t>
  </si>
  <si>
    <t>SDTP: State Deferred Tax Provision</t>
  </si>
  <si>
    <t>Total State Tax Provision</t>
  </si>
  <si>
    <t>Total Tax Provision</t>
  </si>
  <si>
    <t>Effective Tax Rate</t>
  </si>
  <si>
    <t>GLHP</t>
  </si>
  <si>
    <t>Excess Deferred Taxes</t>
  </si>
  <si>
    <t>TX</t>
  </si>
  <si>
    <t>DX</t>
  </si>
  <si>
    <t>Book Life</t>
  </si>
  <si>
    <t>For  the 12 months ended 12/31/2027</t>
  </si>
  <si>
    <t>Projection for the 12 Months Ended 12/31/2027</t>
  </si>
  <si>
    <t>For the 12 Months Ended 12/31/2027</t>
  </si>
  <si>
    <t>2027 Projections</t>
  </si>
  <si>
    <t>Q3 2026</t>
  </si>
  <si>
    <t>SATTD_DEPRARAM</t>
  </si>
  <si>
    <t>Excess Deferred Taxes - ARAM Rates</t>
  </si>
  <si>
    <t>TAXCR_ST_282</t>
  </si>
  <si>
    <t>FAS109 - 282</t>
  </si>
  <si>
    <t>2026.08 M08 Single Dataset, Z_NEET_11_GL HIGH PLAINS (1314A_1314B)</t>
  </si>
  <si>
    <t>CHR101: 100% NON-DEDUCTIBLE CHARITABLE CONTRIBUTIONS</t>
  </si>
  <si>
    <t>MEL102: 100% Non-Deductible Meals &amp; Entertainment Expenses</t>
  </si>
  <si>
    <t>NC_RTP_2025_PERM: NC_RTP_2025_PERM</t>
  </si>
  <si>
    <t>NC_RTP_2025_TEMP: NC_RTP_2025_TEMP</t>
  </si>
  <si>
    <t>2024 M&amp;S / Prepayments corrections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</si>
</sst>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5">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quot;$&quot;#,##0.0000"/>
    <numFmt numFmtId="178" formatCode="0_);\(0\)"/>
    <numFmt numFmtId="179" formatCode="&quot;$&quot;#,##0.0"/>
    <numFmt numFmtId="180" formatCode="_(* #,##0.0_);_(* \(#,##0.0\);_(* &quot;-&quot;??_);_(@_)"/>
    <numFmt numFmtId="181" formatCode="#,##0.0_);\(#,##0.0\)"/>
    <numFmt numFmtId="182" formatCode="0.0000%"/>
    <numFmt numFmtId="183" formatCode="&quot;$&quot;#,##0.000_);\(&quot;$&quot;#,##0.000\)"/>
    <numFmt numFmtId="184" formatCode="&quot;$&quot;#,##0.0_);\(&quot;$&quot;#,##0.0\)"/>
    <numFmt numFmtId="185" formatCode="#,##0.000_);\(#,##0.000\)"/>
    <numFmt numFmtId="186" formatCode="_(* #,##0.0000_);_(* \(#,##0.0000\);_(* &quot;-&quot;??_);_(@_)"/>
    <numFmt numFmtId="187" formatCode="_(* #,##0.00000_);_(* \(#,##0.00000\);_(* &quot;-&quot;??_);_(@_)"/>
    <numFmt numFmtId="188" formatCode="_(* #,##0.0\¢_m;[Red]_(* \-#,##0.0\¢_m;[Green]_(* 0.0\¢_m;_(@_)_%"/>
    <numFmt numFmtId="189" formatCode="_(* #,##0.00\¢_m;[Red]_(* \-#,##0.00\¢_m;[Green]_(* 0.00\¢_m;_(@_)_%"/>
    <numFmt numFmtId="190" formatCode="_(* #,##0.000\¢_m;[Red]_(* \-#,##0.000\¢_m;[Green]_(* 0.000\¢_m;_(@_)_%"/>
    <numFmt numFmtId="191" formatCode="_(_(\£* #,##0_)_%;[Red]_(\(\£* #,##0\)_%;[Green]_(_(\£* #,##0_)_%;_(@_)_%"/>
    <numFmt numFmtId="192" formatCode="_(_(\£* #,##0.0_)_%;[Red]_(\(\£* #,##0.0\)_%;[Green]_(_(\£* #,##0.0_)_%;_(@_)_%"/>
    <numFmt numFmtId="193" formatCode="_(_(\£* #,##0.00_)_%;[Red]_(\(\£* #,##0.00\)_%;[Green]_(_(\£* #,##0.00_)_%;_(@_)_%"/>
    <numFmt numFmtId="194" formatCode="0.0%_);\(0.0%\)"/>
    <numFmt numFmtId="195" formatCode="\•\ \ @"/>
    <numFmt numFmtId="196" formatCode="_(_(\•_ #0_)_%;[Red]_(_(\•_ \-#0\)_%;[Green]_(_(\•_ #0_)_%;_(_(\•_ @_)_%"/>
    <numFmt numFmtId="197" formatCode="_(_(_•_ \•_ #0_)_%;[Red]_(_(_•_ \•_ \-#0\)_%;[Green]_(_(_•_ \•_ #0_)_%;_(_(_•_ \•_ @_)_%"/>
    <numFmt numFmtId="198" formatCode="_(_(_•_ _•_ \•_ #0_)_%;[Red]_(_(_•_ _•_ \•_ \-#0\)_%;[Green]_(_(_•_ _•_ \•_ #0_)_%;_(_(_•_ \•_ @_)_%"/>
    <numFmt numFmtId="199" formatCode="#,##0,_);\(#,##0,\)"/>
    <numFmt numFmtId="200" formatCode="0.0,_);\(0.0,\)"/>
    <numFmt numFmtId="201" formatCode="0.00,_);\(0.00,\)"/>
    <numFmt numFmtId="202" formatCode="_(_(_$* #,##0.0_)_%;[Red]_(\(_$* #,##0.0\)_%;[Green]_(_(_$* #,##0.0_)_%;_(@_)_%"/>
    <numFmt numFmtId="203" formatCode="_(_(_$* #,##0.00_)_%;[Red]_(\(_$* #,##0.00\)_%;[Green]_(_(_$* #,##0.00_)_%;_(@_)_%"/>
    <numFmt numFmtId="204" formatCode="_(_(_$* #,##0.000_)_%;[Red]_(\(_$* #,##0.000\)_%;[Green]_(_(_$* #,##0.000_)_%;_(@_)_%"/>
    <numFmt numFmtId="205" formatCode="_._.* #,##0.0_)_%;_._.* \(#,##0.0\)_%;_._.* \ ?_)_%"/>
    <numFmt numFmtId="206" formatCode="_._.* #,##0.00_)_%;_._.* \(#,##0.00\)_%;_._.* \ ?_)_%"/>
    <numFmt numFmtId="207" formatCode="_._.* #,##0.000_)_%;_._.* \(#,##0.000\)_%;_._.* \ ?_)_%"/>
    <numFmt numFmtId="208" formatCode="_._.* #,##0.0000_)_%;_._.* \(#,##0.0000\)_%;_._.* \ ?_)_%"/>
    <numFmt numFmtId="209" formatCode="_(_(&quot;$&quot;* #,##0.0_)_%;[Red]_(\(&quot;$&quot;* #,##0.0\)_%;[Green]_(_(&quot;$&quot;* #,##0.0_)_%;_(@_)_%"/>
    <numFmt numFmtId="210" formatCode="_(_(&quot;$&quot;* #,##0.00_)_%;[Red]_(\(&quot;$&quot;* #,##0.00\)_%;[Green]_(_(&quot;$&quot;* #,##0.00_)_%;_(@_)_%"/>
    <numFmt numFmtId="211" formatCode="_(_(&quot;$&quot;* #,##0.000_)_%;[Red]_(\(&quot;$&quot;* #,##0.000\)_%;[Green]_(_(&quot;$&quot;* #,##0.000_)_%;_(@_)_%"/>
    <numFmt numFmtId="212" formatCode="_._.&quot;$&quot;* #,##0.0_)_%;_._.&quot;$&quot;* \(#,##0.0\)_%;_._.&quot;$&quot;* \ ?_)_%"/>
    <numFmt numFmtId="213" formatCode="_._.&quot;$&quot;* #,##0.00_)_%;_._.&quot;$&quot;* \(#,##0.00\)_%;_._.&quot;$&quot;* \ ?_)_%"/>
    <numFmt numFmtId="214" formatCode="_._.&quot;$&quot;* #,##0.000_)_%;_._.&quot;$&quot;* \(#,##0.000\)_%;_._.&quot;$&quot;* \ ?_)_%"/>
    <numFmt numFmtId="215" formatCode="_._.&quot;$&quot;* #,##0.0000_)_%;_._.&quot;$&quot;* \(#,##0.0000\)_%;_._.&quot;$&quot;* \ ?_)_%"/>
    <numFmt numFmtId="216" formatCode="&quot;$&quot;#,##0,_);\(&quot;$&quot;#,##0,\)"/>
    <numFmt numFmtId="217" formatCode="&quot;$&quot;0.0,_);\(&quot;$&quot;0.0,\)"/>
    <numFmt numFmtId="218" formatCode="&quot;$&quot;0.00,_);\(&quot;$&quot;0.00,\)"/>
    <numFmt numFmtId="219" formatCode="_(* dd\-mmm\-yy_)_%"/>
    <numFmt numFmtId="220" formatCode="_(* dd\ mmmm\ yyyy_)_%"/>
    <numFmt numFmtId="221" formatCode="_(* mmmm\ dd\,\ yyyy_)_%"/>
    <numFmt numFmtId="222" formatCode="_(* dd\.mm\.yyyy_)_%"/>
    <numFmt numFmtId="223" formatCode="_(* mm/dd/yyyy_)_%"/>
    <numFmt numFmtId="224" formatCode="m/d/yy;@"/>
    <numFmt numFmtId="225" formatCode="#,##0.0\x_);\(#,##0.0\x\)"/>
    <numFmt numFmtId="226" formatCode="#,##0.00\x_);\(#,##0.00\x\)"/>
    <numFmt numFmtId="227" formatCode="[$€-2]\ #,##0_);\([$€-2]\ #,##0\)"/>
    <numFmt numFmtId="228" formatCode="[$€-2]\ #,##0.0_);\([$€-2]\ #,##0.0\)"/>
    <numFmt numFmtId="229" formatCode="_([$€-2]* #,##0.00_);_([$€-2]* \(#,##0.00\);_([$€-2]* &quot;-&quot;??_)"/>
    <numFmt numFmtId="230" formatCode="General_)_%"/>
    <numFmt numFmtId="231" formatCode="_(_(#0_)_%;[Red]_(_(\-#0\)_%;[Green]_(_(#0_)_%;_(_(@_)_%"/>
    <numFmt numFmtId="232" formatCode="_(_(_•_ #0_)_%;[Red]_(_(_•_ \-#0\)_%;[Green]_(_(_•_ #0_)_%;_(_(_•_ @_)_%"/>
    <numFmt numFmtId="233" formatCode="_(_(_•_ _•_ #0_)_%;[Red]_(_(_•_ _•_ \-#0\)_%;[Green]_(_(_•_ _•_ #0_)_%;_(_(_•_ _•_ @_)_%"/>
    <numFmt numFmtId="234" formatCode="_(_(_•_ _•_ _•_ #0_)_%;[Red]_(_(_•_ _•_ _•_ \-#0\)_%;[Green]_(_(_•_ _•_ _•_ #0_)_%;_(_(_•_ _•_ _•_ @_)_%"/>
    <numFmt numFmtId="235" formatCode="#,##0\x;\(#,##0\x\)"/>
    <numFmt numFmtId="236" formatCode="0.0\x;\(0.0\x\)"/>
    <numFmt numFmtId="237" formatCode="#,##0.00\x;\(#,##0.00\x\)"/>
    <numFmt numFmtId="238" formatCode="#,##0.000\x;\(#,##0.000\x\)"/>
    <numFmt numFmtId="239" formatCode="0.0_);\(0.0\)"/>
    <numFmt numFmtId="240" formatCode="0%;\(0%\)"/>
    <numFmt numFmtId="241" formatCode="0.00\ \x_);\(0.00\ \x\)"/>
    <numFmt numFmtId="242" formatCode="_(* #,##0_);_(* \(#,##0\);_(* &quot;-&quot;????_);_(@_)"/>
    <numFmt numFmtId="243" formatCode="0__"/>
    <numFmt numFmtId="244" formatCode="h:mmAM/PM"/>
    <numFmt numFmtId="245" formatCode="0&quot; E&quot;"/>
    <numFmt numFmtId="246" formatCode="yyyy"/>
    <numFmt numFmtId="247" formatCode="0.0%;\(0.0%\)"/>
    <numFmt numFmtId="248" formatCode="0.00%_);\(0.00%\)"/>
    <numFmt numFmtId="249" formatCode="0.000%_);\(0.000%\)"/>
    <numFmt numFmtId="250" formatCode="_(0_)%;\(0\)%;\ \ ?_)%"/>
    <numFmt numFmtId="251" formatCode="_._._(* 0_)%;_._.* \(0\)%;_._._(* \ ?_)%"/>
    <numFmt numFmtId="252" formatCode="0%_);\(0%\)"/>
    <numFmt numFmtId="253" formatCode="_(* #,##0_)_%;[Red]_(* \(#,##0\)_%;[Green]_(* 0_)_%;_(@_)_%"/>
    <numFmt numFmtId="254" formatCode="_(* #,##0.0%_);[Red]_(* \-#,##0.0%_);[Green]_(* 0.0%_);_(@_)_%"/>
    <numFmt numFmtId="255" formatCode="_(* #,##0.00%_);[Red]_(* \-#,##0.00%_);[Green]_(* 0.00%_);_(@_)_%"/>
    <numFmt numFmtId="256" formatCode="_(* #,##0.000%_);[Red]_(* \-#,##0.000%_);[Green]_(* 0.000%_);_(@_)_%"/>
    <numFmt numFmtId="257" formatCode="_(0.0_)%;\(0.0\)%;\ \ ?_)%"/>
    <numFmt numFmtId="258" formatCode="_._._(* 0.0_)%;_._.* \(0.0\)%;_._._(* \ ?_)%"/>
    <numFmt numFmtId="259" formatCode="_(0.00_)%;\(0.00\)%;\ \ ?_)%"/>
    <numFmt numFmtId="260" formatCode="_._._(* 0.00_)%;_._.* \(0.00\)%;_._._(* \ ?_)%"/>
    <numFmt numFmtId="261" formatCode="_(0.000_)%;\(0.000\)%;\ \ ?_)%"/>
    <numFmt numFmtId="262" formatCode="_._._(* 0.000_)%;_._.* \(0.000\)%;_._._(* \ ?_)%"/>
    <numFmt numFmtId="263" formatCode="_(0.0000_)%;\(0.0000\)%;\ \ ?_)%"/>
    <numFmt numFmtId="264" formatCode="_._._(* 0.0000_)%;_._.* \(0.0000\)%;_._._(* \ ?_)%"/>
    <numFmt numFmtId="265" formatCode="mmmm\ dd\,\ yy"/>
    <numFmt numFmtId="266" formatCode="0.0\x"/>
    <numFmt numFmtId="267" formatCode="_(* #,##0_);_(* \(#,##0\);_(* \ ?_)"/>
    <numFmt numFmtId="268" formatCode="_(* #,##0.0_);_(* \(#,##0.0\);_(* \ ?_)"/>
    <numFmt numFmtId="269" formatCode="_(* #,##0.00_);_(* \(#,##0.00\);_(* \ ?_)"/>
    <numFmt numFmtId="270" formatCode="_(* #,##0.000_);_(* \(#,##0.000\);_(* \ ?_)"/>
    <numFmt numFmtId="271" formatCode="_(&quot;$&quot;* #,##0_);_(&quot;$&quot;* \(#,##0\);_(&quot;$&quot;* \ ?_)"/>
    <numFmt numFmtId="272" formatCode="_(&quot;$&quot;* #,##0.0_);_(&quot;$&quot;* \(#,##0.0\);_(&quot;$&quot;* \ ?_)"/>
    <numFmt numFmtId="273" formatCode="_(&quot;$&quot;* #,##0.00_);_(&quot;$&quot;* \(#,##0.00\);_(&quot;$&quot;* \ ?_)"/>
    <numFmt numFmtId="274" formatCode="_(&quot;$&quot;* #,##0.000_);_(&quot;$&quot;* \(#,##0.000\);_(&quot;$&quot;* \ ?_)"/>
    <numFmt numFmtId="275" formatCode="0000&quot;A&quot;"/>
    <numFmt numFmtId="276" formatCode="0&quot;E&quot;"/>
    <numFmt numFmtId="277" formatCode="0000&quot;E&quot;"/>
    <numFmt numFmtId="278" formatCode="_(&quot;$&quot;* #,##0.0000_);_(&quot;$&quot;* \(#,##0.0000\);_(&quot;$&quot;* &quot;-&quot;??_);_(@_)"/>
    <numFmt numFmtId="279" formatCode="_(* #,##0.0000000_);_(* \(#,##0.0000000\);_(* &quot;-&quot;??_);_(@_)"/>
    <numFmt numFmtId="280" formatCode="_(* #,##0.00000_);_(* \(#,##0.00000\);_(* &quot;-&quot;?????_);_(@_)"/>
    <numFmt numFmtId="281" formatCode="_(* #,##0.000_);_(* \(#,##0.000\);_(* &quot;-&quot;??_);_(@_)"/>
    <numFmt numFmtId="282" formatCode="[&gt;=0]#,##0;[&lt;0]\(#,##0\)"/>
  </numFmts>
  <fonts count="128">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0"/>
      <color indexed="10"/>
      <name val="Arial"/>
      <family val="2"/>
    </font>
    <font>
      <sz val="10"/>
      <color indexed="12"/>
      <name val="Arial"/>
      <family val="2"/>
    </font>
    <font>
      <b/>
      <sz val="10"/>
      <color indexed="8"/>
      <name val="Arial"/>
      <family val="2"/>
    </font>
    <font>
      <sz val="10"/>
      <name val="Arial"/>
      <family val="2"/>
    </font>
    <font>
      <b/>
      <sz val="10"/>
      <color indexed="12"/>
      <name val="Arial"/>
      <family val="2"/>
    </font>
    <font>
      <sz val="11"/>
      <name val="Times New Roman"/>
      <family val="1"/>
    </font>
    <font>
      <b/>
      <i/>
      <sz val="12"/>
      <name val="Times New Roman"/>
      <family val="1"/>
    </font>
    <font>
      <sz val="10"/>
      <name val="C Helvetica Condensed"/>
    </font>
    <font>
      <sz val="10"/>
      <color indexed="12"/>
      <name val="Times New Roman"/>
      <family val="1"/>
    </font>
    <font>
      <sz val="10"/>
      <name val="Times New Roman"/>
      <family val="1"/>
    </font>
    <font>
      <b/>
      <sz val="10"/>
      <color indexed="8"/>
      <name val="Times New Roman"/>
      <family val="1"/>
    </font>
    <font>
      <sz val="9"/>
      <color indexed="12"/>
      <name val="Arial"/>
      <family val="2"/>
    </font>
    <font>
      <sz val="9"/>
      <name val="Times New Roman"/>
      <family val="1"/>
    </font>
    <font>
      <sz val="12"/>
      <name val="Helv"/>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0"/>
      <color indexed="22"/>
      <name val="Arial"/>
      <family val="2"/>
    </font>
    <font>
      <u/>
      <sz val="10"/>
      <color indexed="12"/>
      <name val="Arial"/>
      <family val="2"/>
    </font>
    <font>
      <sz val="10"/>
      <color indexed="12"/>
      <name val="Book Antiqua"/>
      <family val="1"/>
    </font>
    <font>
      <i/>
      <sz val="16"/>
      <name val="Times New Roman"/>
      <family val="1"/>
    </font>
    <font>
      <sz val="7"/>
      <name val="Small Fonts"/>
      <family val="2"/>
    </font>
    <font>
      <u/>
      <sz val="10"/>
      <name val="Times New Roman"/>
      <family val="1"/>
    </font>
    <font>
      <sz val="10"/>
      <color indexed="40"/>
      <name val="Arial"/>
      <family val="2"/>
    </font>
    <font>
      <sz val="10"/>
      <color indexed="8"/>
      <name val="Times New Roman"/>
      <family val="1"/>
    </font>
    <font>
      <sz val="10"/>
      <name val="Futura UBS Bk"/>
      <family val="2"/>
    </font>
    <font>
      <sz val="10"/>
      <color indexed="8"/>
      <name val="MS Sans Serif"/>
      <family val="2"/>
    </font>
    <font>
      <sz val="10"/>
      <color indexed="8"/>
      <name val="Arial"/>
      <family val="2"/>
    </font>
    <font>
      <b/>
      <sz val="9"/>
      <name val="Times New Roman"/>
      <family val="1"/>
    </font>
    <font>
      <i/>
      <sz val="8"/>
      <name val="Times New Roman"/>
      <family val="1"/>
    </font>
    <font>
      <sz val="10"/>
      <color indexed="21"/>
      <name val="Arial"/>
      <family val="2"/>
    </font>
    <font>
      <b/>
      <sz val="8"/>
      <name val="Arial"/>
      <family val="2"/>
    </font>
    <font>
      <strike/>
      <sz val="10"/>
      <name val="Times New Roman"/>
      <family val="1"/>
    </font>
    <font>
      <sz val="10"/>
      <color indexed="40"/>
      <name val="Times New Roman"/>
      <family val="1"/>
    </font>
    <font>
      <sz val="10"/>
      <color indexed="10"/>
      <name val="Times New Roman"/>
      <family val="1"/>
    </font>
    <font>
      <sz val="10"/>
      <color indexed="17"/>
      <name val="Times New Roman"/>
      <family val="1"/>
    </font>
    <font>
      <b/>
      <u/>
      <sz val="10"/>
      <name val="Times New Roman"/>
      <family val="1"/>
    </font>
    <font>
      <sz val="10"/>
      <color indexed="8"/>
      <name val="Times New Roman"/>
      <family val="1"/>
    </font>
    <font>
      <sz val="10"/>
      <color indexed="10"/>
      <name val="Times New Roman"/>
      <family val="1"/>
    </font>
    <font>
      <vertAlign val="superscript"/>
      <sz val="10"/>
      <name val="Times New Roman"/>
      <family val="1"/>
    </font>
    <font>
      <strike/>
      <sz val="10"/>
      <color indexed="12"/>
      <name val="Times New Roman"/>
      <family val="1"/>
    </font>
    <font>
      <b/>
      <i/>
      <strike/>
      <sz val="10"/>
      <name val="Times New Roman"/>
      <family val="1"/>
    </font>
    <font>
      <strike/>
      <sz val="10"/>
      <color indexed="10"/>
      <name val="Times New Roman"/>
      <family val="1"/>
    </font>
    <font>
      <b/>
      <i/>
      <sz val="10"/>
      <color indexed="10"/>
      <name val="Times New Roman"/>
      <family val="1"/>
    </font>
    <font>
      <b/>
      <sz val="10"/>
      <color indexed="12"/>
      <name val="Times New Roman"/>
      <family val="1"/>
    </font>
    <font>
      <b/>
      <i/>
      <sz val="10"/>
      <name val="Times New Roman"/>
      <family val="1"/>
    </font>
    <font>
      <u/>
      <sz val="12"/>
      <name val="Arial"/>
      <family val="2"/>
    </font>
    <font>
      <b/>
      <u/>
      <sz val="10"/>
      <name val="Arial"/>
      <family val="2"/>
    </font>
    <font>
      <sz val="12"/>
      <color indexed="10"/>
      <name val="Arial MT"/>
    </font>
    <font>
      <sz val="11"/>
      <name val="Calibri"/>
      <family val="2"/>
    </font>
    <font>
      <sz val="10"/>
      <color indexed="8"/>
      <name val="Arial"/>
      <family val="2"/>
    </font>
    <font>
      <sz val="9"/>
      <name val="Helv"/>
    </font>
    <font>
      <u/>
      <sz val="11"/>
      <name val="Garamond"/>
      <family val="1"/>
    </font>
    <font>
      <sz val="11"/>
      <name val="Garamond"/>
      <family val="1"/>
    </font>
    <font>
      <b/>
      <sz val="11"/>
      <name val="Garamond"/>
      <family val="1"/>
    </font>
    <font>
      <sz val="10"/>
      <color indexed="56"/>
      <name val="Times New Roman"/>
      <family val="1"/>
    </font>
    <font>
      <sz val="10"/>
      <name val="Arial Narrow"/>
      <family val="2"/>
    </font>
    <font>
      <sz val="11"/>
      <color theme="1"/>
      <name val="Calibri"/>
      <family val="2"/>
      <scheme val="minor"/>
    </font>
    <font>
      <vertAlign val="superscript"/>
      <sz val="10"/>
      <color theme="1"/>
      <name val="Times New Roman"/>
      <family val="1"/>
    </font>
    <font>
      <sz val="10"/>
      <color rgb="FFFF0000"/>
      <name val="Times New Roman"/>
      <family val="1"/>
    </font>
    <font>
      <b/>
      <sz val="10"/>
      <color rgb="FFFF0000"/>
      <name val="Arial Narrow"/>
      <family val="2"/>
    </font>
    <font>
      <b/>
      <sz val="10"/>
      <color rgb="FFFF0000"/>
      <name val="Times New Roman"/>
      <family val="1"/>
    </font>
    <font>
      <strike/>
      <sz val="10"/>
      <color rgb="FFFF0000"/>
      <name val="Times New Roman"/>
      <family val="1"/>
    </font>
    <font>
      <sz val="10"/>
      <color rgb="FF000000"/>
      <name val="Times New Roman"/>
      <family val="1"/>
    </font>
    <font>
      <sz val="11"/>
      <color theme="1"/>
      <name val="Times New Roman"/>
      <family val="2"/>
    </font>
    <font>
      <sz val="12"/>
      <name val="Arial MT"/>
      <family val="2"/>
    </font>
    <font>
      <sz val="10"/>
      <color theme="1"/>
      <name val="Calibri"/>
      <family val="2"/>
    </font>
    <font>
      <sz val="8"/>
      <color rgb="FF000000"/>
      <name val="Verdana"/>
      <family val="2"/>
    </font>
    <font>
      <u/>
      <sz val="11"/>
      <color theme="10"/>
      <name val="Calibri"/>
      <family val="2"/>
      <scheme val="minor"/>
    </font>
    <font>
      <sz val="11"/>
      <color indexed="8"/>
      <name val="Calibri"/>
      <family val="2"/>
      <scheme val="minor"/>
    </font>
    <font>
      <sz val="9"/>
      <color indexed="81"/>
      <name val="Tahoma"/>
      <family val="2"/>
    </font>
    <font>
      <b/>
      <sz val="9"/>
      <color indexed="81"/>
      <name val="Tahoma"/>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26">
    <fill>
      <patternFill patternType="none"/>
    </fill>
    <fill>
      <patternFill patternType="gray125"/>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13"/>
        <bgColor indexed="64"/>
      </patternFill>
    </fill>
    <fill>
      <patternFill patternType="solid">
        <fgColor indexed="26"/>
        <bgColor indexed="64"/>
      </patternFill>
    </fill>
    <fill>
      <patternFill patternType="solid">
        <fgColor indexed="22"/>
        <bgColor indexed="64"/>
      </patternFill>
    </fill>
    <fill>
      <patternFill patternType="lightGray">
        <fgColor indexed="38"/>
        <bgColor indexed="23"/>
      </patternFill>
    </fill>
    <fill>
      <patternFill patternType="solid">
        <fgColor indexed="9"/>
        <bgColor indexed="64"/>
      </patternFill>
    </fill>
    <fill>
      <patternFill patternType="mediumGray">
        <fgColor indexed="22"/>
      </patternFill>
    </fill>
    <fill>
      <patternFill patternType="solid">
        <fgColor indexed="26"/>
        <bgColor indexed="9"/>
      </patternFill>
    </fill>
    <fill>
      <patternFill patternType="solid">
        <fgColor indexed="43"/>
        <bgColor indexed="64"/>
      </patternFill>
    </fill>
    <fill>
      <patternFill patternType="solid">
        <fgColor indexed="42"/>
        <bgColor indexed="64"/>
      </patternFill>
    </fill>
    <fill>
      <patternFill patternType="solid">
        <fgColor theme="1"/>
        <bgColor indexed="64"/>
      </patternFill>
    </fill>
    <fill>
      <patternFill patternType="solid">
        <fgColor rgb="FFFFFF99"/>
        <bgColor indexed="64"/>
      </patternFill>
    </fill>
    <fill>
      <patternFill patternType="solid">
        <fgColor theme="0"/>
        <bgColor indexed="64"/>
      </patternFill>
    </fill>
    <fill>
      <patternFill patternType="solid">
        <fgColor rgb="FFFF00FF"/>
        <bgColor indexed="64"/>
      </patternFill>
    </fill>
    <fill>
      <patternFill patternType="solid">
        <fgColor rgb="FFFFC000"/>
        <bgColor indexed="64"/>
      </patternFill>
    </fill>
    <fill>
      <patternFill patternType="solid">
        <fgColor rgb="FFFFFF99"/>
        <bgColor rgb="FF000000"/>
      </patternFill>
    </fill>
    <fill>
      <patternFill patternType="solid">
        <fgColor rgb="FFF1F5FB"/>
        <bgColor rgb="FF000000"/>
      </patternFill>
    </fill>
    <fill>
      <patternFill patternType="solid">
        <fgColor rgb="FFFFFFCC"/>
        <bgColor indexed="64"/>
      </patternFill>
    </fill>
    <fill>
      <patternFill patternType="solid">
        <fgColor rgb="FF92D050"/>
        <bgColor indexed="64"/>
      </patternFill>
    </fill>
    <fill>
      <patternFill patternType="solid">
        <fgColor rgb="FFFFFF00"/>
        <bgColor indexed="64"/>
      </patternFill>
    </fill>
  </fills>
  <borders count="50">
    <border>
      <left/>
      <right/>
      <top/>
      <bottom/>
      <diagonal/>
    </border>
    <border>
      <left/>
      <right/>
      <top/>
      <bottom style="thin">
        <color indexed="64"/>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hair">
        <color indexed="20"/>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rgb="FF808080"/>
      </left>
      <right style="thin">
        <color rgb="FF808080"/>
      </right>
      <top style="thin">
        <color rgb="FF808080"/>
      </top>
      <bottom style="thin">
        <color rgb="FF808080"/>
      </bottom>
      <diagonal/>
    </border>
    <border>
      <left/>
      <right/>
      <top style="thin">
        <color indexed="64"/>
      </top>
      <bottom style="medium">
        <color indexed="64"/>
      </bottom>
      <diagonal/>
    </border>
  </borders>
  <cellStyleXfs count="487">
    <xf numFmtId="174" fontId="0" fillId="0" borderId="0" applyProtection="0"/>
    <xf numFmtId="0" fontId="14" fillId="0" borderId="0"/>
    <xf numFmtId="188" fontId="52" fillId="0" borderId="0" applyFont="0" applyFill="0" applyBorder="0" applyAlignment="0" applyProtection="0"/>
    <xf numFmtId="189" fontId="52" fillId="0" borderId="0" applyFont="0" applyFill="0" applyBorder="0" applyAlignment="0" applyProtection="0"/>
    <xf numFmtId="190" fontId="52" fillId="0" borderId="0" applyFont="0" applyFill="0" applyBorder="0" applyAlignment="0" applyProtection="0"/>
    <xf numFmtId="191" fontId="52" fillId="0" borderId="0" applyFont="0" applyFill="0" applyBorder="0" applyAlignment="0" applyProtection="0"/>
    <xf numFmtId="192" fontId="52" fillId="0" borderId="0" applyFont="0" applyFill="0" applyBorder="0" applyAlignment="0" applyProtection="0"/>
    <xf numFmtId="193" fontId="52" fillId="0" borderId="0" applyFont="0" applyFill="0" applyBorder="0" applyAlignment="0" applyProtection="0"/>
    <xf numFmtId="0" fontId="22" fillId="0" borderId="0"/>
    <xf numFmtId="194" fontId="14" fillId="2" borderId="0" applyNumberFormat="0" applyFill="0" applyBorder="0" applyAlignment="0" applyProtection="0">
      <alignment horizontal="right" vertical="center"/>
    </xf>
    <xf numFmtId="194" fontId="46" fillId="0" borderId="0" applyNumberFormat="0" applyFill="0" applyBorder="0" applyAlignment="0" applyProtection="0"/>
    <xf numFmtId="0" fontId="14" fillId="0" borderId="1" applyNumberFormat="0" applyFont="0" applyFill="0" applyAlignment="0" applyProtection="0"/>
    <xf numFmtId="195" fontId="44" fillId="0" borderId="0" applyFont="0" applyFill="0" applyBorder="0" applyAlignment="0" applyProtection="0"/>
    <xf numFmtId="196" fontId="52" fillId="0" borderId="0" applyFont="0" applyFill="0" applyBorder="0" applyProtection="0">
      <alignment horizontal="left"/>
    </xf>
    <xf numFmtId="197" fontId="52" fillId="0" borderId="0" applyFont="0" applyFill="0" applyBorder="0" applyProtection="0">
      <alignment horizontal="left"/>
    </xf>
    <xf numFmtId="198" fontId="52" fillId="0" borderId="0" applyFont="0" applyFill="0" applyBorder="0" applyProtection="0">
      <alignment horizontal="left"/>
    </xf>
    <xf numFmtId="37" fontId="53" fillId="0" borderId="0" applyFont="0" applyFill="0" applyBorder="0" applyAlignment="0" applyProtection="0">
      <alignment vertical="center"/>
      <protection locked="0"/>
    </xf>
    <xf numFmtId="199" fontId="54" fillId="0" borderId="0" applyFont="0" applyFill="0" applyBorder="0" applyAlignment="0" applyProtection="0"/>
    <xf numFmtId="0" fontId="55" fillId="0" borderId="0"/>
    <xf numFmtId="0" fontId="55" fillId="0" borderId="0"/>
    <xf numFmtId="174" fontId="12" fillId="0" borderId="0" applyFill="0"/>
    <xf numFmtId="174" fontId="12" fillId="0" borderId="0">
      <alignment horizontal="center"/>
    </xf>
    <xf numFmtId="0" fontId="12" fillId="0" borderId="0" applyFill="0">
      <alignment horizontal="center"/>
    </xf>
    <xf numFmtId="174" fontId="13" fillId="0" borderId="2" applyFill="0"/>
    <xf numFmtId="0" fontId="14" fillId="0" borderId="0" applyFont="0" applyAlignment="0"/>
    <xf numFmtId="0" fontId="15" fillId="0" borderId="0" applyFill="0">
      <alignment vertical="top"/>
    </xf>
    <xf numFmtId="0" fontId="13" fillId="0" borderId="0" applyFill="0">
      <alignment horizontal="left" vertical="top"/>
    </xf>
    <xf numFmtId="174" fontId="16" fillId="0" borderId="3" applyFill="0"/>
    <xf numFmtId="0" fontId="14" fillId="0" borderId="0" applyNumberFormat="0" applyFont="0" applyAlignment="0"/>
    <xf numFmtId="0" fontId="15" fillId="0" borderId="0" applyFill="0">
      <alignment wrapText="1"/>
    </xf>
    <xf numFmtId="0" fontId="13" fillId="0" borderId="0" applyFill="0">
      <alignment horizontal="left" vertical="top" wrapText="1"/>
    </xf>
    <xf numFmtId="174" fontId="17" fillId="0" borderId="0" applyFill="0"/>
    <xf numFmtId="0" fontId="18" fillId="0" borderId="0" applyNumberFormat="0" applyFont="0" applyAlignment="0">
      <alignment horizontal="center"/>
    </xf>
    <xf numFmtId="0" fontId="19" fillId="0" borderId="0" applyFill="0">
      <alignment vertical="top" wrapText="1"/>
    </xf>
    <xf numFmtId="0" fontId="16" fillId="0" borderId="0" applyFill="0">
      <alignment horizontal="left" vertical="top" wrapText="1"/>
    </xf>
    <xf numFmtId="174" fontId="14" fillId="0" borderId="0" applyFill="0"/>
    <xf numFmtId="0" fontId="18" fillId="0" borderId="0" applyNumberFormat="0" applyFont="0" applyAlignment="0">
      <alignment horizontal="center"/>
    </xf>
    <xf numFmtId="0" fontId="20" fillId="0" borderId="0" applyFill="0">
      <alignment vertical="center" wrapText="1"/>
    </xf>
    <xf numFmtId="0" fontId="21" fillId="0" borderId="0">
      <alignment horizontal="left" vertical="center" wrapText="1"/>
    </xf>
    <xf numFmtId="174" fontId="22" fillId="0" borderId="0" applyFill="0"/>
    <xf numFmtId="0" fontId="18" fillId="0" borderId="0" applyNumberFormat="0" applyFont="0" applyAlignment="0">
      <alignment horizontal="center"/>
    </xf>
    <xf numFmtId="0" fontId="23" fillId="0" borderId="0" applyFill="0">
      <alignment horizontal="center" vertical="center" wrapText="1"/>
    </xf>
    <xf numFmtId="0" fontId="24" fillId="0" borderId="0" applyFill="0">
      <alignment horizontal="center" vertical="center" wrapText="1"/>
    </xf>
    <xf numFmtId="0" fontId="14" fillId="0" borderId="0" applyFill="0">
      <alignment horizontal="center" vertical="center" wrapText="1"/>
    </xf>
    <xf numFmtId="174" fontId="25" fillId="0" borderId="0" applyFill="0"/>
    <xf numFmtId="0" fontId="18"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174" fontId="28" fillId="0" borderId="0" applyFill="0"/>
    <xf numFmtId="0" fontId="18" fillId="0" borderId="0" applyNumberFormat="0" applyFont="0" applyAlignment="0">
      <alignment horizontal="center"/>
    </xf>
    <xf numFmtId="0" fontId="29" fillId="0" borderId="0">
      <alignment horizontal="center" wrapText="1"/>
    </xf>
    <xf numFmtId="0" fontId="25" fillId="0" borderId="0" applyFill="0">
      <alignment horizontal="center" wrapText="1"/>
    </xf>
    <xf numFmtId="181" fontId="56" fillId="0" borderId="0" applyFont="0" applyFill="0" applyBorder="0" applyAlignment="0" applyProtection="0">
      <protection locked="0"/>
    </xf>
    <xf numFmtId="200" fontId="56" fillId="0" borderId="0" applyFont="0" applyFill="0" applyBorder="0" applyAlignment="0" applyProtection="0">
      <protection locked="0"/>
    </xf>
    <xf numFmtId="39" fontId="14" fillId="0" borderId="0" applyFont="0" applyFill="0" applyBorder="0" applyAlignment="0" applyProtection="0"/>
    <xf numFmtId="201" fontId="57" fillId="0" borderId="0" applyFont="0" applyFill="0" applyBorder="0" applyAlignment="0" applyProtection="0"/>
    <xf numFmtId="185" fontId="54" fillId="0" borderId="0" applyFont="0" applyFill="0" applyBorder="0" applyAlignment="0" applyProtection="0"/>
    <xf numFmtId="0" fontId="14" fillId="0" borderId="1" applyNumberFormat="0" applyFont="0" applyFill="0" applyBorder="0" applyProtection="0">
      <alignment horizontal="centerContinuous" vertical="center"/>
    </xf>
    <xf numFmtId="0" fontId="38" fillId="0" borderId="0" applyFill="0" applyBorder="0" applyProtection="0">
      <alignment horizontal="center"/>
      <protection locked="0"/>
    </xf>
    <xf numFmtId="43" fontId="14" fillId="0" borderId="0" applyFont="0" applyFill="0" applyBorder="0" applyAlignment="0" applyProtection="0"/>
    <xf numFmtId="0" fontId="14"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41" fontId="14" fillId="0" borderId="0" applyFont="0" applyFill="0" applyBorder="0" applyAlignment="0" applyProtection="0"/>
    <xf numFmtId="202" fontId="52" fillId="0" borderId="0" applyFont="0" applyFill="0" applyBorder="0" applyAlignment="0" applyProtection="0"/>
    <xf numFmtId="203" fontId="52" fillId="0" borderId="0" applyFont="0" applyFill="0" applyBorder="0" applyAlignment="0" applyProtection="0"/>
    <xf numFmtId="204" fontId="52" fillId="0" borderId="0" applyFont="0" applyFill="0" applyBorder="0" applyAlignment="0" applyProtection="0"/>
    <xf numFmtId="205" fontId="50" fillId="0" borderId="0" applyFont="0" applyFill="0" applyBorder="0" applyAlignment="0" applyProtection="0"/>
    <xf numFmtId="206" fontId="59" fillId="0" borderId="0" applyFont="0" applyFill="0" applyBorder="0" applyAlignment="0" applyProtection="0"/>
    <xf numFmtId="207" fontId="59" fillId="0" borderId="0" applyFont="0" applyFill="0" applyBorder="0" applyAlignment="0" applyProtection="0"/>
    <xf numFmtId="208" fontId="17" fillId="0" borderId="0" applyFont="0" applyFill="0" applyBorder="0" applyAlignment="0" applyProtection="0">
      <protection locked="0"/>
    </xf>
    <xf numFmtId="43" fontId="10" fillId="0" borderId="0" applyFont="0" applyFill="0" applyBorder="0" applyAlignment="0" applyProtection="0"/>
    <xf numFmtId="43" fontId="3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43" fontId="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01" fillId="0" borderId="0" applyFont="0" applyFill="0" applyBorder="0" applyAlignment="0" applyProtection="0"/>
    <xf numFmtId="37" fontId="60" fillId="0" borderId="0" applyFill="0" applyBorder="0" applyAlignment="0" applyProtection="0"/>
    <xf numFmtId="3" fontId="14" fillId="0" borderId="0" applyFont="0" applyFill="0" applyBorder="0" applyAlignment="0" applyProtection="0"/>
    <xf numFmtId="0" fontId="13" fillId="0" borderId="0" applyFill="0" applyBorder="0" applyAlignment="0" applyProtection="0">
      <protection locked="0"/>
    </xf>
    <xf numFmtId="0" fontId="14" fillId="0" borderId="4"/>
    <xf numFmtId="44" fontId="14" fillId="0" borderId="0" applyFont="0" applyFill="0" applyBorder="0" applyAlignment="0" applyProtection="0"/>
    <xf numFmtId="209" fontId="52" fillId="0" borderId="0" applyFont="0" applyFill="0" applyBorder="0" applyAlignment="0" applyProtection="0"/>
    <xf numFmtId="210" fontId="52" fillId="0" borderId="0" applyFont="0" applyFill="0" applyBorder="0" applyAlignment="0" applyProtection="0"/>
    <xf numFmtId="211" fontId="52" fillId="0" borderId="0" applyFont="0" applyFill="0" applyBorder="0" applyAlignment="0" applyProtection="0"/>
    <xf numFmtId="212" fontId="59" fillId="0" borderId="0" applyFont="0" applyFill="0" applyBorder="0" applyAlignment="0" applyProtection="0"/>
    <xf numFmtId="213" fontId="59" fillId="0" borderId="0" applyFont="0" applyFill="0" applyBorder="0" applyAlignment="0" applyProtection="0"/>
    <xf numFmtId="214" fontId="59" fillId="0" borderId="0" applyFont="0" applyFill="0" applyBorder="0" applyAlignment="0" applyProtection="0"/>
    <xf numFmtId="215" fontId="17" fillId="0" borderId="0" applyFont="0" applyFill="0" applyBorder="0" applyAlignment="0" applyProtection="0">
      <protection locked="0"/>
    </xf>
    <xf numFmtId="44" fontId="24" fillId="0" borderId="0" applyFont="0" applyFill="0" applyBorder="0" applyAlignment="0" applyProtection="0"/>
    <xf numFmtId="44" fontId="14" fillId="0" borderId="0" applyFont="0" applyFill="0" applyBorder="0" applyAlignment="0" applyProtection="0"/>
    <xf numFmtId="44" fontId="4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5" fontId="60" fillId="0" borderId="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216" fontId="54" fillId="0" borderId="0" applyFont="0" applyFill="0" applyBorder="0" applyAlignment="0" applyProtection="0"/>
    <xf numFmtId="184" fontId="14" fillId="0" borderId="0" applyFont="0" applyFill="0" applyBorder="0" applyAlignment="0" applyProtection="0"/>
    <xf numFmtId="217" fontId="56" fillId="0" borderId="0" applyFont="0" applyFill="0" applyBorder="0" applyAlignment="0" applyProtection="0">
      <protection locked="0"/>
    </xf>
    <xf numFmtId="7" fontId="12" fillId="0" borderId="0" applyFont="0" applyFill="0" applyBorder="0" applyAlignment="0" applyProtection="0"/>
    <xf numFmtId="218" fontId="57" fillId="0" borderId="0" applyFont="0" applyFill="0" applyBorder="0" applyAlignment="0" applyProtection="0"/>
    <xf numFmtId="183" fontId="61" fillId="0" borderId="0" applyFont="0" applyFill="0" applyBorder="0" applyAlignment="0" applyProtection="0"/>
    <xf numFmtId="0" fontId="62" fillId="3" borderId="5" applyNumberFormat="0" applyFont="0" applyFill="0" applyAlignment="0" applyProtection="0">
      <alignment horizontal="left" indent="1"/>
    </xf>
    <xf numFmtId="14" fontId="14" fillId="0" borderId="0" applyFont="0" applyFill="0" applyBorder="0" applyAlignment="0" applyProtection="0"/>
    <xf numFmtId="219" fontId="52" fillId="0" borderId="0" applyFont="0" applyFill="0" applyBorder="0" applyProtection="0"/>
    <xf numFmtId="220" fontId="52" fillId="0" borderId="0" applyFont="0" applyFill="0" applyBorder="0" applyProtection="0"/>
    <xf numFmtId="221" fontId="52" fillId="0" borderId="0" applyFont="0" applyFill="0" applyBorder="0" applyAlignment="0" applyProtection="0"/>
    <xf numFmtId="222" fontId="52" fillId="0" borderId="0" applyFont="0" applyFill="0" applyBorder="0" applyAlignment="0" applyProtection="0"/>
    <xf numFmtId="223" fontId="52" fillId="0" borderId="0" applyFont="0" applyFill="0" applyBorder="0" applyAlignment="0" applyProtection="0"/>
    <xf numFmtId="224" fontId="63" fillId="0" borderId="0" applyFont="0" applyFill="0" applyBorder="0" applyAlignment="0" applyProtection="0"/>
    <xf numFmtId="5" fontId="64" fillId="0" borderId="0" applyBorder="0"/>
    <xf numFmtId="184" fontId="64" fillId="0" borderId="0" applyBorder="0"/>
    <xf numFmtId="7" fontId="64" fillId="0" borderId="0" applyBorder="0"/>
    <xf numFmtId="37" fontId="64" fillId="0" borderId="0" applyBorder="0"/>
    <xf numFmtId="181" fontId="64" fillId="0" borderId="0" applyBorder="0"/>
    <xf numFmtId="225" fontId="64" fillId="0" borderId="0" applyBorder="0"/>
    <xf numFmtId="39" fontId="64" fillId="0" borderId="0" applyBorder="0"/>
    <xf numFmtId="226" fontId="64" fillId="0" borderId="0" applyBorder="0"/>
    <xf numFmtId="7" fontId="14" fillId="0" borderId="0" applyFont="0" applyFill="0" applyBorder="0" applyAlignment="0" applyProtection="0"/>
    <xf numFmtId="227" fontId="54" fillId="0" borderId="0" applyFont="0" applyFill="0" applyBorder="0" applyAlignment="0" applyProtection="0"/>
    <xf numFmtId="228" fontId="54" fillId="0" borderId="0" applyFont="0" applyFill="0" applyAlignment="0" applyProtection="0"/>
    <xf numFmtId="227" fontId="54" fillId="0" borderId="0" applyFont="0" applyFill="0" applyBorder="0" applyAlignment="0" applyProtection="0"/>
    <xf numFmtId="229" fontId="12" fillId="0" borderId="0" applyFont="0" applyFill="0" applyBorder="0" applyAlignment="0" applyProtection="0"/>
    <xf numFmtId="2" fontId="14" fillId="0" borderId="0" applyFont="0" applyFill="0" applyBorder="0" applyAlignment="0" applyProtection="0"/>
    <xf numFmtId="0" fontId="65" fillId="0" borderId="0"/>
    <xf numFmtId="181" fontId="66" fillId="0" borderId="0" applyNumberFormat="0" applyFill="0" applyBorder="0" applyAlignment="0" applyProtection="0"/>
    <xf numFmtId="0" fontId="12" fillId="0" borderId="0" applyFont="0" applyFill="0" applyBorder="0" applyAlignment="0" applyProtection="0"/>
    <xf numFmtId="0" fontId="52" fillId="0" borderId="0" applyFont="0" applyFill="0" applyBorder="0" applyProtection="0">
      <alignment horizontal="center" wrapText="1"/>
    </xf>
    <xf numFmtId="230" fontId="52" fillId="0" borderId="0" applyFont="0" applyFill="0" applyBorder="0" applyProtection="0">
      <alignment horizontal="right"/>
    </xf>
    <xf numFmtId="0" fontId="66" fillId="0" borderId="0" applyNumberFormat="0" applyFill="0" applyBorder="0" applyAlignment="0" applyProtection="0"/>
    <xf numFmtId="0" fontId="67" fillId="4" borderId="0" applyNumberFormat="0" applyFill="0" applyBorder="0" applyAlignment="0" applyProtection="0"/>
    <xf numFmtId="0" fontId="16" fillId="0" borderId="6" applyNumberFormat="0" applyAlignment="0" applyProtection="0">
      <alignment horizontal="left" vertical="center"/>
    </xf>
    <xf numFmtId="0" fontId="16" fillId="0" borderId="7">
      <alignment horizontal="left" vertical="center"/>
    </xf>
    <xf numFmtId="14" fontId="39" fillId="5" borderId="8">
      <alignment horizontal="center" vertical="center" wrapText="1"/>
    </xf>
    <xf numFmtId="0" fontId="30" fillId="0" borderId="0" applyFont="0" applyFill="0" applyBorder="0" applyAlignment="0" applyProtection="0"/>
    <xf numFmtId="0" fontId="31" fillId="0" borderId="0" applyFont="0" applyFill="0" applyBorder="0" applyAlignment="0" applyProtection="0"/>
    <xf numFmtId="0" fontId="16" fillId="0" borderId="0" applyFont="0" applyFill="0" applyBorder="0" applyAlignment="0" applyProtection="0"/>
    <xf numFmtId="0" fontId="38" fillId="0" borderId="0" applyFill="0" applyAlignment="0" applyProtection="0">
      <protection locked="0"/>
    </xf>
    <xf numFmtId="0" fontId="38" fillId="0" borderId="1" applyFill="0" applyAlignment="0" applyProtection="0">
      <protection locked="0"/>
    </xf>
    <xf numFmtId="0" fontId="32" fillId="0" borderId="8"/>
    <xf numFmtId="0" fontId="33" fillId="0" borderId="0"/>
    <xf numFmtId="0" fontId="68" fillId="0" borderId="1" applyNumberFormat="0" applyFill="0" applyAlignment="0" applyProtection="0"/>
    <xf numFmtId="0" fontId="63" fillId="6" borderId="0" applyNumberFormat="0" applyFont="0" applyBorder="0" applyAlignment="0" applyProtection="0"/>
    <xf numFmtId="0" fontId="69" fillId="0" borderId="0" applyNumberFormat="0" applyFill="0" applyBorder="0" applyAlignment="0" applyProtection="0">
      <alignment vertical="top"/>
      <protection locked="0"/>
    </xf>
    <xf numFmtId="0" fontId="49" fillId="7" borderId="9" applyNumberFormat="0" applyAlignment="0" applyProtection="0"/>
    <xf numFmtId="231" fontId="52" fillId="0" borderId="0" applyFont="0" applyFill="0" applyBorder="0" applyProtection="0">
      <alignment horizontal="left"/>
    </xf>
    <xf numFmtId="232" fontId="52" fillId="0" borderId="0" applyFont="0" applyFill="0" applyBorder="0" applyProtection="0">
      <alignment horizontal="left"/>
    </xf>
    <xf numFmtId="233" fontId="52" fillId="0" borderId="0" applyFont="0" applyFill="0" applyBorder="0" applyProtection="0">
      <alignment horizontal="left"/>
    </xf>
    <xf numFmtId="234" fontId="52" fillId="0" borderId="0" applyFont="0" applyFill="0" applyBorder="0" applyProtection="0">
      <alignment horizontal="left"/>
    </xf>
    <xf numFmtId="10" fontId="12" fillId="8" borderId="9" applyNumberFormat="0" applyBorder="0" applyAlignment="0" applyProtection="0"/>
    <xf numFmtId="5" fontId="70" fillId="0" borderId="0" applyBorder="0"/>
    <xf numFmtId="184" fontId="70" fillId="0" borderId="0" applyBorder="0"/>
    <xf numFmtId="7" fontId="70" fillId="0" borderId="0" applyBorder="0"/>
    <xf numFmtId="37" fontId="70" fillId="0" borderId="0" applyBorder="0"/>
    <xf numFmtId="181" fontId="70" fillId="0" borderId="0" applyBorder="0"/>
    <xf numFmtId="225" fontId="70" fillId="0" borderId="0" applyBorder="0"/>
    <xf numFmtId="39" fontId="70" fillId="0" borderId="0" applyBorder="0"/>
    <xf numFmtId="226" fontId="70" fillId="0" borderId="0" applyBorder="0"/>
    <xf numFmtId="0" fontId="63" fillId="0" borderId="10" applyNumberFormat="0" applyFont="0" applyFill="0" applyAlignment="0" applyProtection="0"/>
    <xf numFmtId="0" fontId="71" fillId="0" borderId="0"/>
    <xf numFmtId="0" fontId="12" fillId="9" borderId="0"/>
    <xf numFmtId="235" fontId="14" fillId="0" borderId="0" applyFont="0" applyFill="0" applyBorder="0" applyAlignment="0" applyProtection="0"/>
    <xf numFmtId="236" fontId="14" fillId="0" borderId="0" applyFont="0" applyFill="0" applyBorder="0" applyAlignment="0" applyProtection="0"/>
    <xf numFmtId="237" fontId="14" fillId="0" borderId="0" applyFont="0" applyFill="0" applyBorder="0" applyAlignment="0" applyProtection="0"/>
    <xf numFmtId="238" fontId="14" fillId="0" borderId="0" applyFont="0" applyFill="0" applyBorder="0" applyAlignment="0" applyProtection="0"/>
    <xf numFmtId="0" fontId="14" fillId="0" borderId="0" applyFont="0" applyFill="0" applyBorder="0" applyAlignment="0" applyProtection="0">
      <alignment horizontal="right"/>
    </xf>
    <xf numFmtId="239" fontId="14" fillId="0" borderId="0" applyFont="0" applyFill="0" applyBorder="0" applyAlignment="0" applyProtection="0"/>
    <xf numFmtId="37" fontId="72" fillId="0" borderId="0"/>
    <xf numFmtId="0" fontId="54" fillId="0" borderId="0"/>
    <xf numFmtId="0" fontId="108" fillId="0" borderId="0"/>
    <xf numFmtId="7" fontId="102" fillId="0" borderId="0"/>
    <xf numFmtId="0" fontId="14" fillId="0" borderId="0"/>
    <xf numFmtId="0" fontId="50" fillId="0" borderId="0"/>
    <xf numFmtId="0" fontId="24" fillId="0" borderId="0"/>
    <xf numFmtId="0" fontId="14" fillId="0" borderId="0"/>
    <xf numFmtId="0" fontId="14" fillId="0" borderId="0"/>
    <xf numFmtId="0" fontId="48" fillId="0" borderId="0"/>
    <xf numFmtId="0" fontId="14" fillId="0" borderId="0"/>
    <xf numFmtId="0" fontId="14" fillId="0" borderId="0"/>
    <xf numFmtId="0" fontId="14"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174" fontId="34" fillId="0" borderId="0" applyProtection="0"/>
    <xf numFmtId="0" fontId="108" fillId="0" borderId="0"/>
    <xf numFmtId="0" fontId="108" fillId="0" borderId="0"/>
    <xf numFmtId="0" fontId="108" fillId="0" borderId="0"/>
    <xf numFmtId="0" fontId="108" fillId="0" borderId="0"/>
    <xf numFmtId="0" fontId="34" fillId="0" borderId="0" applyProtection="0"/>
    <xf numFmtId="174" fontId="34" fillId="0" borderId="0" applyProtection="0"/>
    <xf numFmtId="174" fontId="34" fillId="0" borderId="0" applyProtection="0"/>
    <xf numFmtId="174" fontId="34" fillId="0" borderId="0" applyProtection="0"/>
    <xf numFmtId="0" fontId="14" fillId="0" borderId="0"/>
    <xf numFmtId="174" fontId="34" fillId="0" borderId="0" applyProtection="0"/>
    <xf numFmtId="0" fontId="14" fillId="0" borderId="0"/>
    <xf numFmtId="0" fontId="44" fillId="10" borderId="0" applyNumberFormat="0" applyFont="0" applyBorder="0" applyAlignment="0"/>
    <xf numFmtId="240" fontId="14" fillId="0" borderId="0" applyFont="0" applyFill="0" applyBorder="0" applyAlignment="0" applyProtection="0"/>
    <xf numFmtId="241" fontId="73" fillId="0" borderId="0"/>
    <xf numFmtId="240" fontId="14" fillId="0" borderId="0" applyFont="0" applyFill="0" applyBorder="0" applyAlignment="0" applyProtection="0"/>
    <xf numFmtId="240" fontId="14" fillId="0" borderId="0" applyFont="0" applyFill="0" applyBorder="0" applyAlignment="0" applyProtection="0"/>
    <xf numFmtId="240" fontId="14" fillId="0" borderId="0" applyFont="0" applyFill="0" applyBorder="0" applyAlignment="0" applyProtection="0"/>
    <xf numFmtId="242" fontId="14" fillId="0" borderId="0"/>
    <xf numFmtId="243" fontId="54" fillId="0" borderId="0"/>
    <xf numFmtId="243" fontId="54" fillId="0" borderId="0"/>
    <xf numFmtId="241" fontId="73" fillId="0" borderId="0"/>
    <xf numFmtId="0" fontId="54" fillId="0" borderId="0"/>
    <xf numFmtId="241" fontId="60" fillId="0" borderId="0"/>
    <xf numFmtId="242" fontId="14" fillId="0" borderId="0"/>
    <xf numFmtId="243" fontId="54" fillId="0" borderId="0"/>
    <xf numFmtId="243" fontId="54" fillId="0" borderId="0"/>
    <xf numFmtId="0" fontId="54" fillId="0" borderId="0"/>
    <xf numFmtId="0" fontId="54" fillId="0" borderId="0"/>
    <xf numFmtId="244" fontId="54" fillId="0" borderId="0"/>
    <xf numFmtId="170" fontId="54" fillId="0" borderId="0"/>
    <xf numFmtId="245" fontId="54" fillId="0" borderId="0"/>
    <xf numFmtId="244" fontId="54" fillId="0" borderId="0"/>
    <xf numFmtId="170" fontId="54" fillId="0" borderId="0"/>
    <xf numFmtId="246" fontId="54" fillId="0" borderId="0"/>
    <xf numFmtId="246" fontId="54" fillId="0" borderId="0"/>
    <xf numFmtId="179" fontId="54" fillId="0" borderId="0"/>
    <xf numFmtId="245" fontId="54" fillId="0" borderId="0"/>
    <xf numFmtId="169" fontId="54" fillId="0" borderId="0"/>
    <xf numFmtId="179" fontId="54" fillId="0" borderId="0"/>
    <xf numFmtId="179" fontId="54" fillId="0" borderId="0"/>
    <xf numFmtId="0" fontId="54" fillId="0" borderId="0"/>
    <xf numFmtId="240" fontId="14" fillId="0" borderId="0" applyFont="0" applyFill="0" applyBorder="0" applyAlignment="0" applyProtection="0"/>
    <xf numFmtId="240" fontId="14" fillId="0" borderId="0" applyFont="0" applyFill="0" applyBorder="0" applyAlignment="0" applyProtection="0"/>
    <xf numFmtId="240" fontId="14" fillId="0" borderId="0" applyFont="0" applyFill="0" applyBorder="0" applyAlignment="0" applyProtection="0"/>
    <xf numFmtId="241" fontId="73" fillId="0" borderId="0"/>
    <xf numFmtId="241" fontId="73" fillId="0" borderId="0"/>
    <xf numFmtId="240" fontId="14" fillId="0" borderId="0" applyFont="0" applyFill="0" applyBorder="0" applyAlignment="0" applyProtection="0"/>
    <xf numFmtId="241" fontId="73" fillId="0" borderId="0"/>
    <xf numFmtId="241" fontId="73" fillId="0" borderId="0"/>
    <xf numFmtId="244" fontId="54" fillId="0" borderId="0"/>
    <xf numFmtId="170" fontId="54" fillId="0" borderId="0"/>
    <xf numFmtId="245" fontId="54" fillId="0" borderId="0"/>
    <xf numFmtId="244" fontId="54" fillId="0" borderId="0"/>
    <xf numFmtId="170" fontId="54" fillId="0" borderId="0"/>
    <xf numFmtId="246" fontId="54" fillId="0" borderId="0"/>
    <xf numFmtId="246" fontId="54" fillId="0" borderId="0"/>
    <xf numFmtId="179" fontId="54" fillId="0" borderId="0"/>
    <xf numFmtId="245" fontId="54" fillId="0" borderId="0"/>
    <xf numFmtId="169" fontId="54" fillId="0" borderId="0"/>
    <xf numFmtId="179" fontId="54" fillId="0" borderId="0"/>
    <xf numFmtId="179" fontId="54" fillId="0" borderId="0"/>
    <xf numFmtId="247" fontId="22" fillId="11" borderId="0" applyFont="0" applyFill="0" applyBorder="0" applyAlignment="0" applyProtection="0"/>
    <xf numFmtId="248" fontId="22" fillId="11" borderId="0" applyFont="0" applyFill="0" applyBorder="0" applyAlignment="0" applyProtection="0"/>
    <xf numFmtId="249" fontId="14" fillId="0" borderId="0" applyFont="0" applyFill="0" applyBorder="0" applyAlignment="0" applyProtection="0"/>
    <xf numFmtId="9" fontId="14" fillId="0" borderId="0" applyFont="0" applyFill="0" applyBorder="0" applyAlignment="0" applyProtection="0"/>
    <xf numFmtId="250" fontId="59" fillId="0" borderId="0" applyFont="0" applyFill="0" applyBorder="0" applyAlignment="0" applyProtection="0"/>
    <xf numFmtId="251" fontId="50" fillId="0" borderId="0" applyFont="0" applyFill="0" applyBorder="0" applyAlignment="0" applyProtection="0"/>
    <xf numFmtId="252" fontId="14" fillId="0" borderId="0" applyFont="0" applyFill="0" applyBorder="0" applyAlignment="0" applyProtection="0"/>
    <xf numFmtId="253" fontId="52" fillId="0" borderId="0" applyFont="0" applyFill="0" applyBorder="0" applyAlignment="0" applyProtection="0"/>
    <xf numFmtId="254" fontId="52" fillId="0" borderId="0" applyFont="0" applyFill="0" applyBorder="0" applyAlignment="0" applyProtection="0"/>
    <xf numFmtId="255" fontId="52" fillId="0" borderId="0" applyFont="0" applyFill="0" applyBorder="0" applyAlignment="0" applyProtection="0"/>
    <xf numFmtId="256" fontId="52" fillId="0" borderId="0" applyFont="0" applyFill="0" applyBorder="0" applyAlignment="0" applyProtection="0"/>
    <xf numFmtId="257" fontId="59" fillId="0" borderId="0" applyFont="0" applyFill="0" applyBorder="0" applyAlignment="0" applyProtection="0"/>
    <xf numFmtId="258" fontId="50" fillId="0" borderId="0" applyFont="0" applyFill="0" applyBorder="0" applyAlignment="0" applyProtection="0"/>
    <xf numFmtId="259" fontId="59" fillId="0" borderId="0" applyFont="0" applyFill="0" applyBorder="0" applyAlignment="0" applyProtection="0"/>
    <xf numFmtId="260" fontId="50" fillId="0" borderId="0" applyFont="0" applyFill="0" applyBorder="0" applyAlignment="0" applyProtection="0"/>
    <xf numFmtId="261" fontId="59" fillId="0" borderId="0" applyFont="0" applyFill="0" applyBorder="0" applyAlignment="0" applyProtection="0"/>
    <xf numFmtId="262" fontId="50" fillId="0" borderId="0" applyFont="0" applyFill="0" applyBorder="0" applyAlignment="0" applyProtection="0"/>
    <xf numFmtId="263" fontId="17" fillId="0" borderId="0" applyFont="0" applyFill="0" applyBorder="0" applyAlignment="0" applyProtection="0">
      <protection locked="0"/>
    </xf>
    <xf numFmtId="264" fontId="50"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9" fontId="4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194" fontId="60" fillId="0" borderId="0" applyFill="0" applyBorder="0" applyAlignment="0" applyProtection="0"/>
    <xf numFmtId="9" fontId="64" fillId="0" borderId="0" applyBorder="0"/>
    <xf numFmtId="171" fontId="64" fillId="0" borderId="0" applyBorder="0"/>
    <xf numFmtId="10" fontId="64" fillId="0" borderId="0" applyBorder="0"/>
    <xf numFmtId="0" fontId="35" fillId="0" borderId="0" applyNumberFormat="0" applyFont="0" applyFill="0" applyBorder="0" applyAlignment="0" applyProtection="0">
      <alignment horizontal="left"/>
    </xf>
    <xf numFmtId="15" fontId="35" fillId="0" borderId="0" applyFont="0" applyFill="0" applyBorder="0" applyAlignment="0" applyProtection="0"/>
    <xf numFmtId="4" fontId="35" fillId="0" borderId="0" applyFont="0" applyFill="0" applyBorder="0" applyAlignment="0" applyProtection="0"/>
    <xf numFmtId="3" fontId="14" fillId="0" borderId="0">
      <alignment horizontal="left" vertical="top"/>
    </xf>
    <xf numFmtId="0" fontId="36" fillId="0" borderId="8">
      <alignment horizontal="center"/>
    </xf>
    <xf numFmtId="3" fontId="35" fillId="0" borderId="0" applyFont="0" applyFill="0" applyBorder="0" applyAlignment="0" applyProtection="0"/>
    <xf numFmtId="0" fontId="35" fillId="12" borderId="0" applyNumberFormat="0" applyFont="0" applyBorder="0" applyAlignment="0" applyProtection="0"/>
    <xf numFmtId="3" fontId="14" fillId="0" borderId="0">
      <alignment horizontal="right" vertical="top"/>
    </xf>
    <xf numFmtId="41" fontId="21" fillId="9" borderId="11" applyFill="0"/>
    <xf numFmtId="0" fontId="37" fillId="0" borderId="0">
      <alignment horizontal="left" indent="7"/>
    </xf>
    <xf numFmtId="41" fontId="21" fillId="0" borderId="11" applyFill="0">
      <alignment horizontal="left" indent="2"/>
    </xf>
    <xf numFmtId="174" fontId="38" fillId="0" borderId="1" applyFill="0">
      <alignment horizontal="right"/>
    </xf>
    <xf numFmtId="0" fontId="39" fillId="0" borderId="9" applyNumberFormat="0" applyFont="0" applyBorder="0">
      <alignment horizontal="right"/>
    </xf>
    <xf numFmtId="0" fontId="40" fillId="0" borderId="0" applyFill="0"/>
    <xf numFmtId="0" fontId="16" fillId="0" borderId="0" applyFill="0"/>
    <xf numFmtId="4" fontId="38" fillId="0" borderId="1" applyFill="0"/>
    <xf numFmtId="0" fontId="14" fillId="0" borderId="0" applyNumberFormat="0" applyFont="0" applyBorder="0" applyAlignment="0"/>
    <xf numFmtId="0" fontId="19" fillId="0" borderId="0" applyFill="0">
      <alignment horizontal="left" indent="1"/>
    </xf>
    <xf numFmtId="0" fontId="41" fillId="0" borderId="0" applyFill="0">
      <alignment horizontal="left" indent="1"/>
    </xf>
    <xf numFmtId="4" fontId="22" fillId="0" borderId="0" applyFill="0"/>
    <xf numFmtId="0" fontId="14" fillId="0" borderId="0" applyNumberFormat="0" applyFont="0" applyFill="0" applyBorder="0" applyAlignment="0"/>
    <xf numFmtId="0" fontId="19" fillId="0" borderId="0" applyFill="0">
      <alignment horizontal="left" indent="2"/>
    </xf>
    <xf numFmtId="0" fontId="16" fillId="0" borderId="0" applyFill="0">
      <alignment horizontal="left" indent="2"/>
    </xf>
    <xf numFmtId="4" fontId="22" fillId="0" borderId="0" applyFill="0"/>
    <xf numFmtId="0" fontId="14" fillId="0" borderId="0" applyNumberFormat="0" applyFont="0" applyBorder="0" applyAlignment="0"/>
    <xf numFmtId="0" fontId="42" fillId="0" borderId="0">
      <alignment horizontal="left" indent="3"/>
    </xf>
    <xf numFmtId="0" fontId="43" fillId="0" borderId="0" applyFill="0">
      <alignment horizontal="left" indent="3"/>
    </xf>
    <xf numFmtId="4" fontId="22" fillId="0" borderId="0" applyFill="0"/>
    <xf numFmtId="0" fontId="14" fillId="0" borderId="0" applyNumberFormat="0" applyFont="0" applyBorder="0" applyAlignment="0"/>
    <xf numFmtId="0" fontId="23" fillId="0" borderId="0">
      <alignment horizontal="left" indent="4"/>
    </xf>
    <xf numFmtId="0" fontId="24" fillId="0" borderId="0" applyFill="0">
      <alignment horizontal="left" indent="4"/>
    </xf>
    <xf numFmtId="0" fontId="14" fillId="0" borderId="0" applyFill="0">
      <alignment horizontal="left" indent="4"/>
    </xf>
    <xf numFmtId="4" fontId="25" fillId="0" borderId="0" applyFill="0"/>
    <xf numFmtId="0" fontId="14" fillId="0" borderId="0" applyNumberFormat="0" applyFont="0" applyBorder="0" applyAlignment="0"/>
    <xf numFmtId="0" fontId="26" fillId="0" borderId="0">
      <alignment horizontal="left" indent="5"/>
    </xf>
    <xf numFmtId="0" fontId="27" fillId="0" borderId="0" applyFill="0">
      <alignment horizontal="left" indent="5"/>
    </xf>
    <xf numFmtId="4" fontId="28" fillId="0" borderId="0" applyFill="0"/>
    <xf numFmtId="0" fontId="14" fillId="0" borderId="0" applyNumberFormat="0" applyFont="0" applyFill="0" applyBorder="0" applyAlignment="0"/>
    <xf numFmtId="0" fontId="29" fillId="0" borderId="0" applyFill="0">
      <alignment horizontal="left" indent="6"/>
    </xf>
    <xf numFmtId="0" fontId="25" fillId="0" borderId="0" applyFill="0">
      <alignment horizontal="left" indent="6"/>
    </xf>
    <xf numFmtId="0" fontId="63" fillId="0" borderId="12" applyNumberFormat="0" applyFont="0" applyFill="0" applyAlignment="0" applyProtection="0"/>
    <xf numFmtId="0" fontId="74" fillId="0" borderId="0" applyNumberFormat="0" applyFill="0" applyBorder="0" applyAlignment="0" applyProtection="0"/>
    <xf numFmtId="0" fontId="75" fillId="0" borderId="0"/>
    <xf numFmtId="0" fontId="75" fillId="0" borderId="0"/>
    <xf numFmtId="0" fontId="51" fillId="0" borderId="8">
      <alignment horizontal="right"/>
    </xf>
    <xf numFmtId="0" fontId="13" fillId="13" borderId="0"/>
    <xf numFmtId="265" fontId="61" fillId="0" borderId="0">
      <alignment horizontal="center"/>
    </xf>
    <xf numFmtId="266" fontId="76" fillId="0" borderId="0">
      <alignment horizontal="center"/>
    </xf>
    <xf numFmtId="0" fontId="77" fillId="0" borderId="0" applyNumberFormat="0" applyFill="0" applyBorder="0" applyAlignment="0" applyProtection="0"/>
    <xf numFmtId="0" fontId="78" fillId="0" borderId="0" applyNumberFormat="0" applyBorder="0" applyAlignment="0"/>
    <xf numFmtId="0" fontId="47" fillId="0" borderId="0" applyNumberFormat="0" applyBorder="0" applyAlignment="0"/>
    <xf numFmtId="0" fontId="14" fillId="9" borderId="4" applyNumberFormat="0" applyFont="0" applyAlignment="0"/>
    <xf numFmtId="0" fontId="63" fillId="3" borderId="0" applyNumberFormat="0" applyFont="0" applyBorder="0" applyAlignment="0" applyProtection="0"/>
    <xf numFmtId="247" fontId="79" fillId="0" borderId="7" applyNumberFormat="0" applyFont="0" applyFill="0" applyAlignment="0" applyProtection="0"/>
    <xf numFmtId="0" fontId="45" fillId="0" borderId="0" applyFill="0" applyBorder="0" applyProtection="0">
      <alignment horizontal="left" vertical="top"/>
    </xf>
    <xf numFmtId="0" fontId="80" fillId="0" borderId="0" applyAlignment="0">
      <alignment horizontal="centerContinuous"/>
    </xf>
    <xf numFmtId="0" fontId="14" fillId="0" borderId="3" applyNumberFormat="0" applyFont="0" applyFill="0" applyAlignment="0" applyProtection="0"/>
    <xf numFmtId="0" fontId="14" fillId="0" borderId="0" applyFont="0" applyFill="0" applyBorder="0" applyAlignment="0" applyProtection="0"/>
    <xf numFmtId="0" fontId="81" fillId="0" borderId="0" applyNumberFormat="0" applyFill="0" applyBorder="0" applyAlignment="0" applyProtection="0"/>
    <xf numFmtId="267" fontId="50" fillId="0" borderId="0" applyFont="0" applyFill="0" applyBorder="0" applyAlignment="0" applyProtection="0"/>
    <xf numFmtId="268" fontId="50" fillId="0" borderId="0" applyFont="0" applyFill="0" applyBorder="0" applyAlignment="0" applyProtection="0"/>
    <xf numFmtId="269" fontId="50" fillId="0" borderId="0" applyFont="0" applyFill="0" applyBorder="0" applyAlignment="0" applyProtection="0"/>
    <xf numFmtId="270" fontId="50" fillId="0" borderId="0" applyFont="0" applyFill="0" applyBorder="0" applyAlignment="0" applyProtection="0"/>
    <xf numFmtId="271" fontId="50" fillId="0" borderId="0" applyFont="0" applyFill="0" applyBorder="0" applyAlignment="0" applyProtection="0"/>
    <xf numFmtId="272" fontId="50" fillId="0" borderId="0" applyFont="0" applyFill="0" applyBorder="0" applyAlignment="0" applyProtection="0"/>
    <xf numFmtId="273" fontId="50" fillId="0" borderId="0" applyFont="0" applyFill="0" applyBorder="0" applyAlignment="0" applyProtection="0"/>
    <xf numFmtId="274" fontId="50" fillId="0" borderId="0" applyFont="0" applyFill="0" applyBorder="0" applyAlignment="0" applyProtection="0"/>
    <xf numFmtId="275" fontId="82" fillId="3" borderId="13" applyFont="0" applyFill="0" applyBorder="0" applyAlignment="0" applyProtection="0"/>
    <xf numFmtId="275" fontId="54" fillId="0" borderId="0" applyFont="0" applyFill="0" applyBorder="0" applyAlignment="0" applyProtection="0"/>
    <xf numFmtId="276" fontId="57" fillId="0" borderId="0" applyFont="0" applyFill="0" applyBorder="0" applyAlignment="0" applyProtection="0"/>
    <xf numFmtId="277" fontId="61" fillId="0" borderId="7" applyFont="0" applyFill="0" applyBorder="0" applyAlignment="0" applyProtection="0">
      <alignment horizontal="right"/>
      <protection locked="0"/>
    </xf>
    <xf numFmtId="43" fontId="10" fillId="0" borderId="0" applyFont="0" applyFill="0" applyBorder="0" applyAlignment="0" applyProtection="0"/>
    <xf numFmtId="43" fontId="7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0" borderId="0"/>
    <xf numFmtId="0" fontId="115" fillId="0" borderId="0"/>
    <xf numFmtId="0" fontId="115" fillId="0" borderId="0"/>
    <xf numFmtId="43" fontId="115" fillId="0" borderId="0" applyFont="0" applyFill="0" applyBorder="0" applyAlignment="0" applyProtection="0"/>
    <xf numFmtId="43" fontId="115" fillId="0" borderId="0" applyFont="0" applyFill="0" applyBorder="0" applyAlignment="0" applyProtection="0"/>
    <xf numFmtId="0" fontId="8" fillId="0" borderId="0"/>
    <xf numFmtId="9" fontId="8" fillId="0" borderId="0" applyFont="0" applyFill="0" applyBorder="0" applyAlignment="0" applyProtection="0"/>
    <xf numFmtId="44" fontId="8" fillId="0" borderId="0" applyFont="0" applyFill="0" applyBorder="0" applyAlignment="0" applyProtection="0"/>
    <xf numFmtId="174" fontId="116" fillId="0" borderId="0" applyProtection="0"/>
    <xf numFmtId="0" fontId="117" fillId="0" borderId="0"/>
    <xf numFmtId="41" fontId="117" fillId="0" borderId="0" applyFont="0" applyFill="0" applyBorder="0" applyAlignment="0" applyProtection="0"/>
    <xf numFmtId="43" fontId="117" fillId="0" borderId="0" applyFont="0" applyFill="0" applyBorder="0" applyAlignment="0" applyProtection="0"/>
    <xf numFmtId="174" fontId="34" fillId="0" borderId="0" applyProtection="0"/>
    <xf numFmtId="0" fontId="8" fillId="0" borderId="0"/>
    <xf numFmtId="0" fontId="10" fillId="0" borderId="0"/>
    <xf numFmtId="43" fontId="14" fillId="0" borderId="0" applyFont="0" applyFill="0" applyBorder="0" applyAlignment="0" applyProtection="0"/>
    <xf numFmtId="0" fontId="118" fillId="22" borderId="48" applyNumberFormat="0" applyAlignment="0" applyProtection="0">
      <alignment horizontal="left" vertical="center" indent="1"/>
    </xf>
    <xf numFmtId="0" fontId="8" fillId="0" borderId="0"/>
    <xf numFmtId="43" fontId="8" fillId="0" borderId="0" applyFont="0" applyFill="0" applyBorder="0" applyAlignment="0" applyProtection="0"/>
    <xf numFmtId="9" fontId="8" fillId="0" borderId="0" applyFont="0" applyFill="0" applyBorder="0" applyAlignment="0" applyProtection="0"/>
    <xf numFmtId="0" fontId="119" fillId="0" borderId="0" applyNumberFormat="0" applyFill="0" applyBorder="0" applyAlignment="0" applyProtection="0"/>
    <xf numFmtId="0" fontId="8" fillId="0" borderId="0"/>
    <xf numFmtId="44" fontId="8" fillId="0" borderId="0" applyFont="0" applyFill="0" applyBorder="0" applyAlignment="0" applyProtection="0"/>
    <xf numFmtId="0" fontId="120" fillId="0" borderId="0"/>
    <xf numFmtId="174" fontId="116" fillId="0" borderId="0" applyProtection="0"/>
    <xf numFmtId="174" fontId="116" fillId="0" borderId="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0" fontId="14" fillId="0" borderId="0"/>
    <xf numFmtId="43" fontId="14" fillId="0" borderId="0" applyFont="0" applyFill="0" applyBorder="0" applyAlignment="0" applyProtection="0"/>
    <xf numFmtId="43" fontId="8" fillId="0" borderId="0" applyFont="0" applyFill="0" applyBorder="0" applyAlignment="0" applyProtection="0"/>
    <xf numFmtId="9" fontId="7" fillId="0" borderId="0" applyFont="0" applyFill="0" applyBorder="0" applyAlignment="0" applyProtection="0"/>
    <xf numFmtId="0" fontId="14" fillId="0" borderId="0"/>
    <xf numFmtId="43" fontId="7" fillId="0" borderId="0" applyFont="0" applyFill="0" applyBorder="0" applyAlignment="0" applyProtection="0"/>
    <xf numFmtId="44" fontId="6"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20" fillId="0" borderId="0"/>
    <xf numFmtId="0" fontId="5"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22" fillId="0" borderId="0"/>
    <xf numFmtId="41" fontId="22" fillId="0" borderId="0" applyFont="0" applyFill="0" applyBorder="0" applyAlignment="0" applyProtection="0"/>
    <xf numFmtId="43" fontId="22" fillId="0" borderId="0" applyFont="0" applyFill="0" applyBorder="0" applyAlignment="0" applyProtection="0"/>
    <xf numFmtId="0" fontId="14" fillId="0" borderId="0" applyNumberFormat="0" applyFont="0" applyFill="0" applyBorder="0" applyProtection="0">
      <alignment horizontal="left" indent="1"/>
    </xf>
    <xf numFmtId="41" fontId="4"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0" fontId="13" fillId="0" borderId="0" applyFill="0" applyBorder="0" applyAlignment="0" applyProtection="0"/>
    <xf numFmtId="0" fontId="21" fillId="0" borderId="0" applyFill="0" applyBorder="0" applyAlignment="0" applyProtection="0"/>
    <xf numFmtId="0" fontId="39" fillId="0" borderId="0" applyFill="0" applyBorder="0" applyProtection="0">
      <alignment horizontal="center" wrapText="1"/>
    </xf>
    <xf numFmtId="0" fontId="14" fillId="0" borderId="0" applyFont="0" applyFill="0" applyBorder="0" applyProtection="0">
      <alignment horizontal="left" indent="1"/>
    </xf>
    <xf numFmtId="282" fontId="14" fillId="0" borderId="1" applyFont="0" applyFill="0" applyAlignment="0" applyProtection="0"/>
    <xf numFmtId="282" fontId="14" fillId="0" borderId="0" applyFont="0" applyFill="0" applyBorder="0" applyAlignment="0" applyProtection="0"/>
    <xf numFmtId="282" fontId="14" fillId="0" borderId="7" applyFont="0" applyFill="0" applyAlignment="0" applyProtection="0"/>
    <xf numFmtId="282" fontId="14" fillId="0" borderId="14" applyFont="0" applyFill="0" applyAlignment="0" applyProtection="0"/>
    <xf numFmtId="0" fontId="39" fillId="0" borderId="0" applyFill="0" applyBorder="0" applyAlignment="0" applyProtection="0"/>
    <xf numFmtId="10" fontId="14" fillId="0" borderId="0" applyFont="0" applyFill="0" applyBorder="0" applyAlignment="0" applyProtection="0"/>
    <xf numFmtId="282" fontId="14" fillId="0" borderId="49" applyFont="0" applyFill="0" applyAlignment="0" applyProtection="0"/>
    <xf numFmtId="282" fontId="14" fillId="0" borderId="8" applyFont="0" applyFill="0" applyAlignment="0" applyProtection="0"/>
    <xf numFmtId="0" fontId="120" fillId="0" borderId="0"/>
    <xf numFmtId="0" fontId="14" fillId="0" borderId="0"/>
    <xf numFmtId="0" fontId="123" fillId="0" borderId="0" applyBorder="0">
      <alignment wrapText="1"/>
    </xf>
    <xf numFmtId="0" fontId="124" fillId="0" borderId="0" applyBorder="0">
      <alignment wrapText="1"/>
    </xf>
    <xf numFmtId="0" fontId="125" fillId="0" borderId="0" applyBorder="0">
      <alignment wrapText="1"/>
    </xf>
    <xf numFmtId="0" fontId="126" fillId="0" borderId="0" applyBorder="0">
      <alignment wrapText="1"/>
    </xf>
    <xf numFmtId="0" fontId="127" fillId="0" borderId="0" applyBorder="0">
      <alignment wrapText="1"/>
    </xf>
    <xf numFmtId="0" fontId="120" fillId="0" borderId="0"/>
    <xf numFmtId="0" fontId="39" fillId="0" borderId="1" applyFill="0" applyProtection="0">
      <alignment horizontal="center" wrapText="1"/>
    </xf>
    <xf numFmtId="0" fontId="14" fillId="0" borderId="0" applyFont="0" applyFill="0" applyBorder="0" applyProtection="0">
      <alignment horizontal="left" indent="1"/>
    </xf>
    <xf numFmtId="0" fontId="2" fillId="0" borderId="0"/>
    <xf numFmtId="0" fontId="2"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9" fontId="34"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0" fontId="14" fillId="0" borderId="0"/>
  </cellStyleXfs>
  <cellXfs count="1014">
    <xf numFmtId="174" fontId="0" fillId="0" borderId="0" xfId="0"/>
    <xf numFmtId="0" fontId="54" fillId="0" borderId="0" xfId="212" applyFont="1"/>
    <xf numFmtId="0" fontId="61" fillId="0" borderId="0" xfId="212" applyFont="1" applyAlignment="1">
      <alignment horizontal="centerContinuous"/>
    </xf>
    <xf numFmtId="0" fontId="61" fillId="0" borderId="0" xfId="212" applyFont="1" applyAlignment="1">
      <alignment horizontal="center" wrapText="1"/>
    </xf>
    <xf numFmtId="0" fontId="61" fillId="0" borderId="0" xfId="206" applyFont="1" applyAlignment="1">
      <alignment horizontal="center" wrapText="1"/>
    </xf>
    <xf numFmtId="0" fontId="54" fillId="0" borderId="0" xfId="212" quotePrefix="1" applyFont="1" applyAlignment="1">
      <alignment horizontal="left"/>
    </xf>
    <xf numFmtId="41" fontId="54" fillId="14" borderId="0" xfId="212" applyNumberFormat="1" applyFont="1" applyFill="1"/>
    <xf numFmtId="0" fontId="54" fillId="0" borderId="0" xfId="212" applyFont="1" applyAlignment="1">
      <alignment horizontal="right"/>
    </xf>
    <xf numFmtId="43" fontId="54" fillId="0" borderId="14" xfId="59" applyFont="1" applyBorder="1"/>
    <xf numFmtId="37" fontId="54" fillId="0" borderId="0" xfId="212" applyNumberFormat="1" applyFont="1"/>
    <xf numFmtId="0" fontId="61" fillId="0" borderId="0" xfId="212" applyFont="1" applyAlignment="1">
      <alignment horizontal="centerContinuous" wrapText="1"/>
    </xf>
    <xf numFmtId="0" fontId="61" fillId="0" borderId="0" xfId="212" applyFont="1" applyAlignment="1">
      <alignment horizontal="center"/>
    </xf>
    <xf numFmtId="174" fontId="54" fillId="0" borderId="0" xfId="0" applyFont="1" applyAlignment="1">
      <alignment wrapText="1"/>
    </xf>
    <xf numFmtId="0" fontId="84" fillId="0" borderId="0" xfId="0" applyNumberFormat="1" applyFont="1" applyAlignment="1">
      <alignment horizontal="center"/>
    </xf>
    <xf numFmtId="174" fontId="84" fillId="0" borderId="0" xfId="0" applyFont="1"/>
    <xf numFmtId="174" fontId="54" fillId="0" borderId="0" xfId="0" applyFont="1"/>
    <xf numFmtId="174" fontId="54" fillId="0" borderId="0" xfId="207" applyFont="1"/>
    <xf numFmtId="174" fontId="84" fillId="0" borderId="0" xfId="0" applyFont="1" applyAlignment="1">
      <alignment horizontal="center"/>
    </xf>
    <xf numFmtId="175" fontId="54" fillId="0" borderId="0" xfId="59" applyNumberFormat="1" applyFont="1" applyAlignment="1"/>
    <xf numFmtId="0" fontId="54" fillId="0" borderId="0" xfId="201" applyNumberFormat="1" applyFont="1" applyProtection="1">
      <protection locked="0"/>
    </xf>
    <xf numFmtId="0" fontId="54" fillId="0" borderId="0" xfId="201" applyNumberFormat="1" applyFont="1" applyAlignment="1" applyProtection="1">
      <alignment horizontal="center"/>
      <protection locked="0"/>
    </xf>
    <xf numFmtId="0" fontId="54" fillId="14" borderId="0" xfId="201" applyNumberFormat="1" applyFont="1" applyFill="1" applyAlignment="1">
      <alignment horizontal="right"/>
    </xf>
    <xf numFmtId="3" fontId="54" fillId="0" borderId="0" xfId="201" applyNumberFormat="1" applyFont="1"/>
    <xf numFmtId="3" fontId="54" fillId="0" borderId="0" xfId="201" applyNumberFormat="1" applyFont="1" applyAlignment="1">
      <alignment horizontal="center"/>
    </xf>
    <xf numFmtId="174" fontId="54" fillId="0" borderId="0" xfId="201" applyFont="1"/>
    <xf numFmtId="0" fontId="54" fillId="0" borderId="0" xfId="201" applyNumberFormat="1" applyFont="1"/>
    <xf numFmtId="43" fontId="54" fillId="0" borderId="0" xfId="59" applyFont="1" applyAlignment="1"/>
    <xf numFmtId="0" fontId="54" fillId="0" borderId="0" xfId="211" applyNumberFormat="1" applyFont="1" applyProtection="1">
      <protection locked="0"/>
    </xf>
    <xf numFmtId="3" fontId="54" fillId="0" borderId="0" xfId="211" applyNumberFormat="1" applyFont="1"/>
    <xf numFmtId="3" fontId="54" fillId="0" borderId="8" xfId="211" applyNumberFormat="1" applyFont="1" applyBorder="1" applyAlignment="1">
      <alignment horizontal="center"/>
    </xf>
    <xf numFmtId="0" fontId="54" fillId="0" borderId="0" xfId="211" applyNumberFormat="1" applyFont="1"/>
    <xf numFmtId="3" fontId="54" fillId="0" borderId="0" xfId="211" applyNumberFormat="1" applyFont="1" applyAlignment="1">
      <alignment horizontal="center"/>
    </xf>
    <xf numFmtId="0" fontId="54" fillId="0" borderId="8" xfId="211" applyNumberFormat="1" applyFont="1" applyBorder="1" applyAlignment="1" applyProtection="1">
      <alignment horizontal="center"/>
      <protection locked="0"/>
    </xf>
    <xf numFmtId="174" fontId="54" fillId="0" borderId="0" xfId="211" applyFont="1"/>
    <xf numFmtId="169" fontId="54" fillId="0" borderId="0" xfId="211" applyNumberFormat="1" applyFont="1"/>
    <xf numFmtId="166" fontId="54" fillId="0" borderId="0" xfId="211" applyNumberFormat="1" applyFont="1" applyAlignment="1">
      <alignment horizontal="center"/>
    </xf>
    <xf numFmtId="164" fontId="54" fillId="0" borderId="0" xfId="211" applyNumberFormat="1" applyFont="1" applyAlignment="1">
      <alignment horizontal="left"/>
    </xf>
    <xf numFmtId="175" fontId="54" fillId="0" borderId="0" xfId="59" applyNumberFormat="1" applyFont="1" applyBorder="1" applyAlignment="1"/>
    <xf numFmtId="10" fontId="54" fillId="0" borderId="0" xfId="211" applyNumberFormat="1" applyFont="1" applyAlignment="1">
      <alignment horizontal="left"/>
    </xf>
    <xf numFmtId="3" fontId="54" fillId="0" borderId="0" xfId="188" applyNumberFormat="1" applyFont="1"/>
    <xf numFmtId="166" fontId="54" fillId="0" borderId="0" xfId="188" applyNumberFormat="1" applyFont="1"/>
    <xf numFmtId="0" fontId="54" fillId="0" borderId="0" xfId="188" applyFont="1"/>
    <xf numFmtId="43" fontId="54" fillId="0" borderId="8" xfId="59" applyFont="1" applyBorder="1" applyAlignment="1"/>
    <xf numFmtId="164" fontId="54" fillId="0" borderId="0" xfId="211" applyNumberFormat="1" applyFont="1" applyAlignment="1" applyProtection="1">
      <alignment horizontal="left"/>
      <protection locked="0"/>
    </xf>
    <xf numFmtId="174" fontId="54" fillId="14" borderId="0" xfId="201" applyFont="1" applyFill="1"/>
    <xf numFmtId="174" fontId="54" fillId="0" borderId="1" xfId="201" applyFont="1" applyBorder="1"/>
    <xf numFmtId="174" fontId="54" fillId="0" borderId="15" xfId="201" applyFont="1" applyBorder="1"/>
    <xf numFmtId="43" fontId="54" fillId="0" borderId="15" xfId="59" applyFont="1" applyFill="1" applyBorder="1" applyAlignment="1"/>
    <xf numFmtId="175" fontId="54" fillId="0" borderId="0" xfId="59" applyNumberFormat="1" applyFont="1" applyFill="1" applyBorder="1" applyAlignment="1"/>
    <xf numFmtId="43" fontId="54" fillId="0" borderId="0" xfId="59" applyFont="1" applyFill="1" applyBorder="1" applyAlignment="1"/>
    <xf numFmtId="174" fontId="85" fillId="0" borderId="0" xfId="201" applyFont="1"/>
    <xf numFmtId="174" fontId="54" fillId="0" borderId="0" xfId="201" applyFont="1" applyAlignment="1">
      <alignment horizontal="center"/>
    </xf>
    <xf numFmtId="174" fontId="54" fillId="0" borderId="0" xfId="201" applyFont="1" applyAlignment="1">
      <alignment horizontal="right"/>
    </xf>
    <xf numFmtId="0" fontId="54" fillId="0" borderId="0" xfId="201" applyNumberFormat="1" applyFont="1" applyAlignment="1">
      <alignment horizontal="right"/>
    </xf>
    <xf numFmtId="0" fontId="86" fillId="0" borderId="0" xfId="201" applyNumberFormat="1" applyFont="1"/>
    <xf numFmtId="0" fontId="86" fillId="0" borderId="0" xfId="201" applyNumberFormat="1" applyFont="1" applyAlignment="1">
      <alignment horizontal="center"/>
    </xf>
    <xf numFmtId="49" fontId="54" fillId="0" borderId="0" xfId="201" applyNumberFormat="1" applyFont="1"/>
    <xf numFmtId="0" fontId="54" fillId="0" borderId="0" xfId="201" applyNumberFormat="1" applyFont="1" applyAlignment="1">
      <alignment horizontal="center"/>
    </xf>
    <xf numFmtId="49" fontId="54" fillId="0" borderId="0" xfId="201" applyNumberFormat="1" applyFont="1" applyAlignment="1">
      <alignment horizontal="center"/>
    </xf>
    <xf numFmtId="3" fontId="61" fillId="0" borderId="0" xfId="201" applyNumberFormat="1" applyFont="1" applyAlignment="1">
      <alignment horizontal="center"/>
    </xf>
    <xf numFmtId="174" fontId="61" fillId="0" borderId="0" xfId="201" applyFont="1" applyAlignment="1">
      <alignment horizontal="center"/>
    </xf>
    <xf numFmtId="0" fontId="61" fillId="0" borderId="0" xfId="201" applyNumberFormat="1" applyFont="1" applyAlignment="1" applyProtection="1">
      <alignment horizontal="center"/>
      <protection locked="0"/>
    </xf>
    <xf numFmtId="0" fontId="61" fillId="0" borderId="0" xfId="201" applyNumberFormat="1" applyFont="1" applyAlignment="1">
      <alignment horizontal="center"/>
    </xf>
    <xf numFmtId="0" fontId="61" fillId="0" borderId="0" xfId="201" applyNumberFormat="1" applyFont="1"/>
    <xf numFmtId="0" fontId="87" fillId="0" borderId="0" xfId="201" applyNumberFormat="1" applyFont="1" applyAlignment="1" applyProtection="1">
      <alignment horizontal="center"/>
      <protection locked="0"/>
    </xf>
    <xf numFmtId="3" fontId="54" fillId="0" borderId="0" xfId="201" applyNumberFormat="1" applyFont="1" applyAlignment="1">
      <alignment horizontal="left"/>
    </xf>
    <xf numFmtId="180" fontId="54" fillId="0" borderId="0" xfId="59" applyNumberFormat="1" applyFont="1" applyFill="1" applyBorder="1" applyAlignment="1"/>
    <xf numFmtId="175" fontId="88" fillId="0" borderId="0" xfId="59" applyNumberFormat="1" applyFont="1" applyFill="1" applyBorder="1" applyAlignment="1"/>
    <xf numFmtId="10" fontId="88" fillId="0" borderId="0" xfId="266" applyNumberFormat="1" applyFont="1" applyFill="1" applyBorder="1" applyAlignment="1"/>
    <xf numFmtId="10" fontId="61" fillId="0" borderId="0" xfId="201" applyNumberFormat="1" applyFont="1"/>
    <xf numFmtId="3" fontId="61" fillId="0" borderId="0" xfId="201" applyNumberFormat="1" applyFont="1"/>
    <xf numFmtId="165" fontId="61" fillId="0" borderId="0" xfId="201" applyNumberFormat="1" applyFont="1"/>
    <xf numFmtId="10" fontId="54" fillId="0" borderId="0" xfId="201" applyNumberFormat="1" applyFont="1"/>
    <xf numFmtId="43" fontId="88" fillId="0" borderId="0" xfId="59" applyFont="1" applyFill="1" applyBorder="1" applyAlignment="1"/>
    <xf numFmtId="43" fontId="54" fillId="0" borderId="0" xfId="59" applyFont="1" applyFill="1" applyBorder="1" applyAlignment="1">
      <alignment horizontal="center"/>
    </xf>
    <xf numFmtId="49" fontId="61" fillId="0" borderId="0" xfId="201" applyNumberFormat="1" applyFont="1" applyAlignment="1">
      <alignment horizontal="center"/>
    </xf>
    <xf numFmtId="174" fontId="61" fillId="0" borderId="0" xfId="201" applyFont="1"/>
    <xf numFmtId="3" fontId="61" fillId="0" borderId="0" xfId="201" applyNumberFormat="1" applyFont="1" applyAlignment="1">
      <alignment horizontal="left"/>
    </xf>
    <xf numFmtId="43" fontId="61" fillId="0" borderId="0" xfId="59" applyFont="1" applyFill="1" applyBorder="1" applyAlignment="1"/>
    <xf numFmtId="10" fontId="61" fillId="0" borderId="0" xfId="266" applyNumberFormat="1" applyFont="1" applyFill="1" applyBorder="1" applyAlignment="1"/>
    <xf numFmtId="0" fontId="54" fillId="0" borderId="0" xfId="201" applyNumberFormat="1" applyFont="1" applyAlignment="1">
      <alignment horizontal="fill"/>
    </xf>
    <xf numFmtId="174" fontId="89" fillId="0" borderId="0" xfId="201" applyFont="1"/>
    <xf numFmtId="3" fontId="89" fillId="0" borderId="0" xfId="201" applyNumberFormat="1" applyFont="1"/>
    <xf numFmtId="164" fontId="54" fillId="0" borderId="0" xfId="201" applyNumberFormat="1" applyFont="1" applyAlignment="1">
      <alignment horizontal="left"/>
    </xf>
    <xf numFmtId="164" fontId="54" fillId="0" borderId="0" xfId="201" applyNumberFormat="1" applyFont="1" applyAlignment="1">
      <alignment horizontal="center"/>
    </xf>
    <xf numFmtId="170" fontId="54" fillId="0" borderId="0" xfId="201" applyNumberFormat="1" applyFont="1"/>
    <xf numFmtId="0" fontId="89" fillId="0" borderId="0" xfId="201" applyNumberFormat="1" applyFont="1"/>
    <xf numFmtId="49" fontId="54" fillId="0" borderId="0" xfId="201" applyNumberFormat="1" applyFont="1" applyAlignment="1">
      <alignment horizontal="left"/>
    </xf>
    <xf numFmtId="178" fontId="61" fillId="0" borderId="0" xfId="201" applyNumberFormat="1" applyFont="1" applyAlignment="1">
      <alignment horizontal="center"/>
    </xf>
    <xf numFmtId="174" fontId="61" fillId="0" borderId="16" xfId="201" applyFont="1" applyBorder="1" applyAlignment="1">
      <alignment horizontal="center" wrapText="1"/>
    </xf>
    <xf numFmtId="174" fontId="61" fillId="0" borderId="7" xfId="201" applyFont="1" applyBorder="1"/>
    <xf numFmtId="174" fontId="61" fillId="0" borderId="7" xfId="201" applyFont="1" applyBorder="1" applyAlignment="1">
      <alignment horizontal="center" wrapText="1"/>
    </xf>
    <xf numFmtId="0" fontId="61" fillId="0" borderId="7" xfId="201" applyNumberFormat="1" applyFont="1" applyBorder="1" applyAlignment="1">
      <alignment horizontal="center" wrapText="1"/>
    </xf>
    <xf numFmtId="174" fontId="61" fillId="0" borderId="9" xfId="201" applyFont="1" applyBorder="1" applyAlignment="1">
      <alignment horizontal="center" wrapText="1"/>
    </xf>
    <xf numFmtId="3" fontId="61" fillId="0" borderId="9" xfId="201" applyNumberFormat="1" applyFont="1" applyBorder="1" applyAlignment="1">
      <alignment horizontal="center" wrapText="1"/>
    </xf>
    <xf numFmtId="0" fontId="54" fillId="0" borderId="16" xfId="201" applyNumberFormat="1" applyFont="1" applyBorder="1"/>
    <xf numFmtId="0" fontId="54" fillId="0" borderId="7" xfId="201" applyNumberFormat="1" applyFont="1" applyBorder="1"/>
    <xf numFmtId="0" fontId="54" fillId="0" borderId="7" xfId="201" applyNumberFormat="1" applyFont="1" applyBorder="1" applyAlignment="1">
      <alignment horizontal="center"/>
    </xf>
    <xf numFmtId="0" fontId="54" fillId="0" borderId="9" xfId="201" applyNumberFormat="1" applyFont="1" applyBorder="1" applyAlignment="1">
      <alignment horizontal="center"/>
    </xf>
    <xf numFmtId="3" fontId="54" fillId="0" borderId="9" xfId="201" applyNumberFormat="1" applyFont="1" applyBorder="1" applyAlignment="1">
      <alignment horizontal="center" wrapText="1"/>
    </xf>
    <xf numFmtId="3" fontId="54" fillId="0" borderId="7" xfId="201" applyNumberFormat="1" applyFont="1" applyBorder="1" applyAlignment="1">
      <alignment horizontal="center"/>
    </xf>
    <xf numFmtId="0" fontId="54" fillId="0" borderId="10" xfId="201" applyNumberFormat="1" applyFont="1" applyBorder="1"/>
    <xf numFmtId="0" fontId="54" fillId="0" borderId="11" xfId="201" applyNumberFormat="1" applyFont="1" applyBorder="1"/>
    <xf numFmtId="3" fontId="54" fillId="0" borderId="11" xfId="201" applyNumberFormat="1" applyFont="1" applyBorder="1"/>
    <xf numFmtId="174" fontId="54" fillId="0" borderId="0" xfId="209" applyFont="1"/>
    <xf numFmtId="174" fontId="54" fillId="14" borderId="0" xfId="209" applyFont="1" applyFill="1"/>
    <xf numFmtId="0" fontId="54" fillId="14" borderId="0" xfId="59" applyNumberFormat="1" applyFont="1" applyFill="1" applyBorder="1" applyAlignment="1"/>
    <xf numFmtId="176" fontId="54" fillId="14" borderId="0" xfId="93" applyNumberFormat="1" applyFont="1" applyFill="1" applyBorder="1" applyAlignment="1"/>
    <xf numFmtId="43" fontId="54" fillId="0" borderId="11" xfId="59" applyFont="1" applyFill="1" applyBorder="1" applyAlignment="1"/>
    <xf numFmtId="0" fontId="54" fillId="14" borderId="0" xfId="59" applyNumberFormat="1" applyFont="1" applyFill="1" applyBorder="1" applyAlignment="1">
      <alignment horizontal="right"/>
    </xf>
    <xf numFmtId="174" fontId="54" fillId="0" borderId="10" xfId="201" applyFont="1" applyBorder="1"/>
    <xf numFmtId="174" fontId="54" fillId="0" borderId="17" xfId="201" applyFont="1" applyBorder="1"/>
    <xf numFmtId="175" fontId="54" fillId="0" borderId="0" xfId="59" applyNumberFormat="1" applyFont="1" applyFill="1" applyBorder="1" applyAlignment="1">
      <alignment horizontal="center"/>
    </xf>
    <xf numFmtId="1" fontId="54" fillId="0" borderId="0" xfId="59" applyNumberFormat="1" applyFont="1" applyFill="1" applyBorder="1" applyAlignment="1">
      <alignment horizontal="center"/>
    </xf>
    <xf numFmtId="174" fontId="54" fillId="0" borderId="8" xfId="201" applyFont="1" applyBorder="1"/>
    <xf numFmtId="174" fontId="54" fillId="0" borderId="0" xfId="201" applyFont="1" applyAlignment="1">
      <alignment horizontal="center" vertical="top"/>
    </xf>
    <xf numFmtId="49" fontId="84" fillId="0" borderId="0" xfId="0" applyNumberFormat="1" applyFont="1" applyAlignment="1">
      <alignment horizontal="center"/>
    </xf>
    <xf numFmtId="3" fontId="84" fillId="0" borderId="0" xfId="211" applyNumberFormat="1" applyFont="1"/>
    <xf numFmtId="3" fontId="54" fillId="0" borderId="0" xfId="211" applyNumberFormat="1" applyFont="1" applyAlignment="1">
      <alignment wrapText="1"/>
    </xf>
    <xf numFmtId="175" fontId="61" fillId="0" borderId="0" xfId="59" applyNumberFormat="1" applyFont="1" applyFill="1" applyBorder="1" applyAlignment="1" applyProtection="1">
      <alignment horizontal="center"/>
      <protection locked="0"/>
    </xf>
    <xf numFmtId="0" fontId="54" fillId="0" borderId="0" xfId="192" applyFont="1"/>
    <xf numFmtId="0" fontId="54" fillId="0" borderId="0" xfId="192" applyFont="1" applyAlignment="1">
      <alignment horizontal="center"/>
    </xf>
    <xf numFmtId="0" fontId="54" fillId="0" borderId="3" xfId="192" applyFont="1" applyBorder="1"/>
    <xf numFmtId="0" fontId="54" fillId="0" borderId="0" xfId="192" applyFont="1" applyAlignment="1">
      <alignment horizontal="center" wrapText="1"/>
    </xf>
    <xf numFmtId="43" fontId="54" fillId="0" borderId="0" xfId="59" applyFont="1" applyFill="1"/>
    <xf numFmtId="43" fontId="54" fillId="0" borderId="0" xfId="192" applyNumberFormat="1" applyFont="1"/>
    <xf numFmtId="176" fontId="54" fillId="0" borderId="3" xfId="93" applyNumberFormat="1" applyFont="1" applyBorder="1"/>
    <xf numFmtId="0" fontId="54" fillId="0" borderId="0" xfId="192" applyFont="1" applyAlignment="1">
      <alignment horizontal="center" vertical="center" wrapText="1"/>
    </xf>
    <xf numFmtId="174" fontId="54" fillId="0" borderId="0" xfId="0" applyFont="1" applyAlignment="1">
      <alignment horizontal="center" vertical="center" wrapText="1"/>
    </xf>
    <xf numFmtId="0" fontId="54" fillId="0" borderId="0" xfId="192" applyFont="1" applyAlignment="1">
      <alignment wrapText="1"/>
    </xf>
    <xf numFmtId="0" fontId="83" fillId="0" borderId="0" xfId="192" applyFont="1"/>
    <xf numFmtId="0" fontId="54" fillId="0" borderId="0" xfId="192" applyFont="1" applyAlignment="1">
      <alignment horizontal="left" wrapText="1"/>
    </xf>
    <xf numFmtId="0" fontId="54" fillId="0" borderId="0" xfId="188" applyFont="1" applyAlignment="1">
      <alignment horizontal="right"/>
    </xf>
    <xf numFmtId="0" fontId="54" fillId="0" borderId="0" xfId="211" applyNumberFormat="1" applyFont="1" applyAlignment="1" applyProtection="1">
      <alignment horizontal="center"/>
      <protection locked="0"/>
    </xf>
    <xf numFmtId="0" fontId="54" fillId="14" borderId="0" xfId="188" applyFont="1" applyFill="1"/>
    <xf numFmtId="0" fontId="54" fillId="14" borderId="0" xfId="211" applyNumberFormat="1" applyFont="1" applyFill="1"/>
    <xf numFmtId="0" fontId="92" fillId="0" borderId="0" xfId="211" applyNumberFormat="1" applyFont="1"/>
    <xf numFmtId="49" fontId="54" fillId="0" borderId="0" xfId="211" applyNumberFormat="1" applyFont="1"/>
    <xf numFmtId="49" fontId="54" fillId="0" borderId="0" xfId="211" applyNumberFormat="1" applyFont="1" applyAlignment="1">
      <alignment horizontal="center"/>
    </xf>
    <xf numFmtId="0" fontId="54" fillId="0" borderId="0" xfId="211" applyNumberFormat="1" applyFont="1" applyAlignment="1">
      <alignment horizontal="center"/>
    </xf>
    <xf numFmtId="42" fontId="54" fillId="0" borderId="0" xfId="188" applyNumberFormat="1" applyFont="1"/>
    <xf numFmtId="0" fontId="54" fillId="0" borderId="8" xfId="211" applyNumberFormat="1" applyFont="1" applyBorder="1" applyAlignment="1" applyProtection="1">
      <alignment horizontal="centerContinuous"/>
      <protection locked="0"/>
    </xf>
    <xf numFmtId="43" fontId="54" fillId="0" borderId="0" xfId="59" applyFont="1" applyFill="1" applyAlignment="1"/>
    <xf numFmtId="3" fontId="54" fillId="0" borderId="0" xfId="211" applyNumberFormat="1" applyFont="1" applyAlignment="1">
      <alignment horizontal="left"/>
    </xf>
    <xf numFmtId="166" fontId="54" fillId="0" borderId="0" xfId="211" applyNumberFormat="1" applyFont="1"/>
    <xf numFmtId="42" fontId="54" fillId="0" borderId="18" xfId="211" applyNumberFormat="1" applyFont="1" applyBorder="1" applyAlignment="1" applyProtection="1">
      <alignment horizontal="right"/>
      <protection locked="0"/>
    </xf>
    <xf numFmtId="170" fontId="85" fillId="0" borderId="0" xfId="0" applyNumberFormat="1" applyFont="1"/>
    <xf numFmtId="174" fontId="85" fillId="0" borderId="0" xfId="0" applyFont="1"/>
    <xf numFmtId="0" fontId="54" fillId="0" borderId="0" xfId="206" applyFont="1" applyAlignment="1" applyProtection="1">
      <alignment horizontal="center"/>
      <protection locked="0"/>
    </xf>
    <xf numFmtId="0" fontId="54" fillId="0" borderId="0" xfId="206" applyFont="1"/>
    <xf numFmtId="166" fontId="54" fillId="0" borderId="0" xfId="206" applyNumberFormat="1" applyFont="1"/>
    <xf numFmtId="3" fontId="54" fillId="0" borderId="0" xfId="206" applyNumberFormat="1" applyFont="1"/>
    <xf numFmtId="42" fontId="54" fillId="0" borderId="18" xfId="206" applyNumberFormat="1" applyFont="1" applyBorder="1" applyAlignment="1" applyProtection="1">
      <alignment horizontal="right"/>
      <protection locked="0"/>
    </xf>
    <xf numFmtId="168" fontId="54" fillId="0" borderId="0" xfId="188" applyNumberFormat="1" applyFont="1"/>
    <xf numFmtId="168" fontId="54" fillId="0" borderId="0" xfId="211" applyNumberFormat="1" applyFont="1"/>
    <xf numFmtId="168" fontId="54" fillId="0" borderId="0" xfId="211" applyNumberFormat="1" applyFont="1" applyAlignment="1">
      <alignment horizontal="center"/>
    </xf>
    <xf numFmtId="174" fontId="54" fillId="0" borderId="0" xfId="211" applyFont="1" applyAlignment="1">
      <alignment horizontal="center"/>
    </xf>
    <xf numFmtId="0" fontId="54" fillId="0" borderId="0" xfId="211" applyNumberFormat="1" applyFont="1" applyAlignment="1">
      <alignment horizontal="left"/>
    </xf>
    <xf numFmtId="173" fontId="54" fillId="0" borderId="0" xfId="188" applyNumberFormat="1" applyFont="1"/>
    <xf numFmtId="173" fontId="54" fillId="0" borderId="0" xfId="211" applyNumberFormat="1" applyFont="1" applyProtection="1">
      <protection locked="0"/>
    </xf>
    <xf numFmtId="0" fontId="54" fillId="0" borderId="0" xfId="211" applyNumberFormat="1" applyFont="1" applyAlignment="1">
      <alignment horizontal="right"/>
    </xf>
    <xf numFmtId="0" fontId="83" fillId="0" borderId="0" xfId="211" applyNumberFormat="1" applyFont="1"/>
    <xf numFmtId="3" fontId="61" fillId="0" borderId="0" xfId="211" applyNumberFormat="1" applyFont="1" applyAlignment="1">
      <alignment horizontal="center"/>
    </xf>
    <xf numFmtId="0" fontId="61" fillId="0" borderId="0" xfId="211" applyNumberFormat="1" applyFont="1" applyAlignment="1" applyProtection="1">
      <alignment horizontal="center"/>
      <protection locked="0"/>
    </xf>
    <xf numFmtId="174" fontId="61" fillId="0" borderId="0" xfId="211" applyFont="1" applyAlignment="1">
      <alignment horizontal="center"/>
    </xf>
    <xf numFmtId="3" fontId="61" fillId="0" borderId="0" xfId="211" applyNumberFormat="1" applyFont="1"/>
    <xf numFmtId="0" fontId="61" fillId="0" borderId="0" xfId="211" applyNumberFormat="1" applyFont="1"/>
    <xf numFmtId="175" fontId="54" fillId="14" borderId="0" xfId="59" applyNumberFormat="1" applyFont="1" applyFill="1" applyAlignment="1"/>
    <xf numFmtId="175" fontId="54" fillId="14" borderId="8" xfId="59" applyNumberFormat="1" applyFont="1" applyFill="1" applyBorder="1" applyAlignment="1"/>
    <xf numFmtId="175" fontId="54" fillId="0" borderId="8" xfId="59" applyNumberFormat="1" applyFont="1" applyBorder="1" applyAlignment="1"/>
    <xf numFmtId="43" fontId="54" fillId="0" borderId="0" xfId="59" applyFont="1" applyAlignment="1">
      <alignment horizontal="center"/>
    </xf>
    <xf numFmtId="164" fontId="54" fillId="0" borderId="0" xfId="211" applyNumberFormat="1" applyFont="1" applyAlignment="1">
      <alignment horizontal="center"/>
    </xf>
    <xf numFmtId="165" fontId="54" fillId="0" borderId="0" xfId="188" applyNumberFormat="1" applyFont="1" applyAlignment="1">
      <alignment horizontal="right"/>
    </xf>
    <xf numFmtId="175" fontId="54" fillId="14" borderId="0" xfId="59" applyNumberFormat="1" applyFont="1" applyFill="1" applyBorder="1" applyAlignment="1"/>
    <xf numFmtId="187" fontId="54" fillId="0" borderId="0" xfId="59" applyNumberFormat="1" applyFont="1" applyAlignment="1"/>
    <xf numFmtId="187" fontId="54" fillId="0" borderId="0" xfId="59" applyNumberFormat="1" applyFont="1" applyFill="1" applyBorder="1" applyAlignment="1"/>
    <xf numFmtId="187" fontId="54" fillId="0" borderId="0" xfId="59" applyNumberFormat="1" applyFont="1" applyBorder="1" applyAlignment="1"/>
    <xf numFmtId="3" fontId="54" fillId="0" borderId="0" xfId="211" quotePrefix="1" applyNumberFormat="1" applyFont="1" applyAlignment="1">
      <alignment horizontal="left"/>
    </xf>
    <xf numFmtId="175" fontId="54" fillId="0" borderId="0" xfId="59" applyNumberFormat="1" applyFont="1" applyFill="1" applyAlignment="1"/>
    <xf numFmtId="175" fontId="54" fillId="0" borderId="18" xfId="59" applyNumberFormat="1" applyFont="1" applyBorder="1" applyAlignment="1"/>
    <xf numFmtId="164" fontId="54" fillId="0" borderId="0" xfId="188" applyNumberFormat="1" applyFont="1" applyAlignment="1">
      <alignment horizontal="center"/>
    </xf>
    <xf numFmtId="3" fontId="54" fillId="0" borderId="0" xfId="211" applyNumberFormat="1" applyFont="1" applyAlignment="1">
      <alignment horizontal="right"/>
    </xf>
    <xf numFmtId="172" fontId="54" fillId="0" borderId="0" xfId="211" applyNumberFormat="1" applyFont="1" applyAlignment="1">
      <alignment horizontal="left"/>
    </xf>
    <xf numFmtId="186" fontId="54" fillId="0" borderId="0" xfId="59" applyNumberFormat="1" applyFont="1" applyAlignment="1"/>
    <xf numFmtId="186" fontId="54" fillId="0" borderId="0" xfId="59" applyNumberFormat="1" applyFont="1" applyFill="1" applyAlignment="1"/>
    <xf numFmtId="186" fontId="54" fillId="0" borderId="0" xfId="59" applyNumberFormat="1" applyFont="1" applyFill="1" applyBorder="1" applyAlignment="1"/>
    <xf numFmtId="175" fontId="54" fillId="0" borderId="8" xfId="59" applyNumberFormat="1" applyFont="1" applyFill="1" applyBorder="1" applyAlignment="1"/>
    <xf numFmtId="0" fontId="54" fillId="0" borderId="0" xfId="211" applyNumberFormat="1" applyFont="1" applyAlignment="1">
      <alignment wrapText="1"/>
    </xf>
    <xf numFmtId="0" fontId="54" fillId="0" borderId="0" xfId="211" quotePrefix="1" applyNumberFormat="1" applyFont="1" applyAlignment="1">
      <alignment horizontal="left"/>
    </xf>
    <xf numFmtId="175" fontId="54" fillId="0" borderId="0" xfId="59" applyNumberFormat="1" applyFont="1" applyFill="1" applyAlignment="1">
      <alignment horizontal="right"/>
    </xf>
    <xf numFmtId="167" fontId="54" fillId="0" borderId="0" xfId="211" applyNumberFormat="1" applyFont="1"/>
    <xf numFmtId="166" fontId="54" fillId="0" borderId="0" xfId="188" applyNumberFormat="1" applyFont="1" applyAlignment="1">
      <alignment horizontal="center"/>
    </xf>
    <xf numFmtId="175" fontId="54" fillId="0" borderId="14" xfId="59" applyNumberFormat="1" applyFont="1" applyBorder="1" applyAlignment="1"/>
    <xf numFmtId="174" fontId="54" fillId="0" borderId="0" xfId="211" applyFont="1" applyAlignment="1">
      <alignment horizontal="right"/>
    </xf>
    <xf numFmtId="0" fontId="84" fillId="0" borderId="0" xfId="211" applyNumberFormat="1" applyFont="1" applyAlignment="1" applyProtection="1">
      <alignment horizontal="center"/>
      <protection locked="0"/>
    </xf>
    <xf numFmtId="0" fontId="54" fillId="0" borderId="8" xfId="211" applyNumberFormat="1" applyFont="1" applyBorder="1" applyProtection="1">
      <protection locked="0"/>
    </xf>
    <xf numFmtId="0" fontId="54" fillId="0" borderId="8" xfId="211" applyNumberFormat="1" applyFont="1" applyBorder="1"/>
    <xf numFmtId="186" fontId="54" fillId="0" borderId="0" xfId="59" applyNumberFormat="1" applyFont="1" applyFill="1" applyAlignment="1">
      <alignment horizontal="right"/>
    </xf>
    <xf numFmtId="3" fontId="54" fillId="0" borderId="8" xfId="211" applyNumberFormat="1" applyFont="1" applyBorder="1"/>
    <xf numFmtId="4" fontId="54" fillId="0" borderId="0" xfId="211" applyNumberFormat="1" applyFont="1"/>
    <xf numFmtId="3" fontId="54" fillId="0" borderId="0" xfId="188" applyNumberFormat="1" applyFont="1" applyAlignment="1">
      <alignment horizontal="center"/>
    </xf>
    <xf numFmtId="0" fontId="54" fillId="0" borderId="8" xfId="188" applyFont="1" applyBorder="1" applyAlignment="1">
      <alignment horizontal="center"/>
    </xf>
    <xf numFmtId="0" fontId="54" fillId="0" borderId="0" xfId="188" applyFont="1" applyAlignment="1">
      <alignment horizontal="center"/>
    </xf>
    <xf numFmtId="166" fontId="54" fillId="0" borderId="0" xfId="211" applyNumberFormat="1" applyFont="1" applyAlignment="1" applyProtection="1">
      <alignment horizontal="center"/>
      <protection locked="0"/>
    </xf>
    <xf numFmtId="187" fontId="54" fillId="0" borderId="0" xfId="59" applyNumberFormat="1" applyFont="1" applyAlignment="1">
      <alignment horizontal="center"/>
    </xf>
    <xf numFmtId="175" fontId="54" fillId="14" borderId="0" xfId="59" applyNumberFormat="1" applyFont="1" applyFill="1" applyAlignment="1">
      <alignment horizontal="center"/>
    </xf>
    <xf numFmtId="3" fontId="54" fillId="0" borderId="0" xfId="211" quotePrefix="1" applyNumberFormat="1" applyFont="1"/>
    <xf numFmtId="175" fontId="54" fillId="0" borderId="0" xfId="59" applyNumberFormat="1" applyFont="1" applyFill="1" applyAlignment="1">
      <alignment horizontal="center"/>
    </xf>
    <xf numFmtId="0" fontId="89" fillId="0" borderId="0" xfId="211" applyNumberFormat="1" applyFont="1" applyProtection="1">
      <protection locked="0"/>
    </xf>
    <xf numFmtId="174" fontId="89" fillId="0" borderId="0" xfId="211" applyFont="1"/>
    <xf numFmtId="174" fontId="54" fillId="0" borderId="0" xfId="211" applyFont="1" applyProtection="1"/>
    <xf numFmtId="180" fontId="54" fillId="14" borderId="0" xfId="59" applyNumberFormat="1" applyFont="1" applyFill="1" applyBorder="1" applyProtection="1">
      <protection locked="0"/>
    </xf>
    <xf numFmtId="38" fontId="54" fillId="0" borderId="0" xfId="211" applyNumberFormat="1" applyFont="1" applyProtection="1"/>
    <xf numFmtId="174" fontId="54" fillId="0" borderId="8" xfId="211" applyFont="1" applyBorder="1"/>
    <xf numFmtId="38" fontId="54" fillId="0" borderId="0" xfId="211" applyNumberFormat="1" applyFont="1"/>
    <xf numFmtId="180" fontId="54" fillId="0" borderId="0" xfId="59" applyNumberFormat="1" applyFont="1" applyFill="1" applyBorder="1" applyProtection="1"/>
    <xf numFmtId="170" fontId="54" fillId="0" borderId="0" xfId="211" applyNumberFormat="1" applyFont="1" applyProtection="1"/>
    <xf numFmtId="168" fontId="54" fillId="0" borderId="0" xfId="211" applyNumberFormat="1" applyFont="1" applyProtection="1">
      <protection locked="0"/>
    </xf>
    <xf numFmtId="175" fontId="54" fillId="14" borderId="0" xfId="59" applyNumberFormat="1" applyFont="1" applyFill="1" applyBorder="1" applyProtection="1"/>
    <xf numFmtId="1" fontId="54" fillId="0" borderId="0" xfId="211" applyNumberFormat="1" applyFont="1" applyProtection="1"/>
    <xf numFmtId="0" fontId="54" fillId="0" borderId="0" xfId="211" applyNumberFormat="1" applyFont="1" applyAlignment="1" applyProtection="1">
      <alignment horizontal="left"/>
      <protection locked="0"/>
    </xf>
    <xf numFmtId="175" fontId="54" fillId="14" borderId="0" xfId="59" applyNumberFormat="1" applyFont="1" applyFill="1" applyBorder="1" applyAlignment="1" applyProtection="1">
      <protection locked="0"/>
    </xf>
    <xf numFmtId="3" fontId="54" fillId="0" borderId="0" xfId="211" applyNumberFormat="1" applyFont="1" applyProtection="1"/>
    <xf numFmtId="0" fontId="54" fillId="0" borderId="8" xfId="188" applyFont="1" applyBorder="1" applyAlignment="1">
      <alignment horizontal="left" vertical="center" wrapText="1"/>
    </xf>
    <xf numFmtId="3" fontId="54" fillId="0" borderId="0" xfId="211" applyNumberFormat="1" applyFont="1" applyAlignment="1" applyProtection="1">
      <alignment horizontal="right"/>
      <protection locked="0"/>
    </xf>
    <xf numFmtId="175" fontId="54" fillId="0" borderId="0" xfId="59" applyNumberFormat="1" applyFont="1" applyFill="1" applyBorder="1" applyAlignment="1" applyProtection="1"/>
    <xf numFmtId="174" fontId="54" fillId="0" borderId="0" xfId="211" applyFont="1" applyProtection="1">
      <protection locked="0"/>
    </xf>
    <xf numFmtId="170" fontId="54" fillId="0" borderId="0" xfId="211" applyNumberFormat="1" applyFont="1" applyAlignment="1" applyProtection="1">
      <alignment horizontal="right"/>
      <protection locked="0"/>
    </xf>
    <xf numFmtId="170" fontId="54" fillId="0" borderId="0" xfId="211" applyNumberFormat="1" applyFont="1" applyProtection="1">
      <protection locked="0"/>
    </xf>
    <xf numFmtId="0" fontId="54" fillId="0" borderId="0" xfId="211" applyNumberFormat="1" applyFont="1" applyAlignment="1" applyProtection="1">
      <alignment horizontal="left" indent="8"/>
      <protection locked="0"/>
    </xf>
    <xf numFmtId="3" fontId="54" fillId="0" borderId="0" xfId="211" applyNumberFormat="1" applyFont="1" applyAlignment="1">
      <alignment vertical="top" wrapText="1"/>
    </xf>
    <xf numFmtId="0" fontId="54" fillId="0" borderId="0" xfId="211" applyNumberFormat="1" applyFont="1" applyAlignment="1" applyProtection="1">
      <alignment vertical="top" wrapText="1"/>
      <protection locked="0"/>
    </xf>
    <xf numFmtId="174" fontId="54" fillId="0" borderId="0" xfId="0" applyFont="1" applyAlignment="1">
      <alignment horizontal="left"/>
    </xf>
    <xf numFmtId="174" fontId="83" fillId="0" borderId="15" xfId="201" applyFont="1" applyBorder="1"/>
    <xf numFmtId="174" fontId="83" fillId="0" borderId="1" xfId="201" applyFont="1" applyBorder="1"/>
    <xf numFmtId="178" fontId="61" fillId="0" borderId="0" xfId="201" quotePrefix="1" applyNumberFormat="1" applyFont="1" applyAlignment="1">
      <alignment horizontal="center"/>
    </xf>
    <xf numFmtId="174" fontId="54" fillId="0" borderId="0" xfId="201" applyFont="1" applyAlignment="1">
      <alignment horizontal="left"/>
    </xf>
    <xf numFmtId="10" fontId="54" fillId="0" borderId="0" xfId="266" applyNumberFormat="1" applyFont="1" applyAlignment="1"/>
    <xf numFmtId="2" fontId="54" fillId="0" borderId="0" xfId="0" applyNumberFormat="1" applyFont="1" applyAlignment="1">
      <alignment horizontal="center"/>
    </xf>
    <xf numFmtId="2" fontId="54" fillId="0" borderId="0" xfId="0" applyNumberFormat="1" applyFont="1"/>
    <xf numFmtId="0" fontId="54" fillId="0" borderId="0" xfId="0" applyNumberFormat="1" applyFont="1"/>
    <xf numFmtId="10" fontId="54" fillId="0" borderId="0" xfId="266" applyNumberFormat="1" applyFont="1" applyAlignment="1">
      <alignment horizontal="center"/>
    </xf>
    <xf numFmtId="0" fontId="54" fillId="0" borderId="0" xfId="187" applyFont="1"/>
    <xf numFmtId="164" fontId="61" fillId="0" borderId="0" xfId="187" applyNumberFormat="1" applyFont="1" applyAlignment="1">
      <alignment horizontal="center"/>
    </xf>
    <xf numFmtId="10" fontId="95" fillId="0" borderId="20" xfId="266" applyNumberFormat="1" applyFont="1" applyFill="1" applyBorder="1" applyAlignment="1"/>
    <xf numFmtId="10" fontId="61" fillId="0" borderId="0" xfId="187" applyNumberFormat="1" applyFont="1" applyAlignment="1">
      <alignment horizontal="center"/>
    </xf>
    <xf numFmtId="0" fontId="54" fillId="0" borderId="0" xfId="187" applyFont="1" applyAlignment="1">
      <alignment horizontal="center"/>
    </xf>
    <xf numFmtId="0" fontId="54" fillId="0" borderId="8" xfId="187" applyFont="1" applyBorder="1" applyAlignment="1">
      <alignment horizontal="center"/>
    </xf>
    <xf numFmtId="0" fontId="54" fillId="0" borderId="21" xfId="187" applyFont="1" applyBorder="1"/>
    <xf numFmtId="0" fontId="54" fillId="0" borderId="22" xfId="187" applyFont="1" applyBorder="1"/>
    <xf numFmtId="0" fontId="61" fillId="0" borderId="4" xfId="187" applyFont="1" applyBorder="1"/>
    <xf numFmtId="0" fontId="54" fillId="0" borderId="23" xfId="187" applyFont="1" applyBorder="1"/>
    <xf numFmtId="0" fontId="61" fillId="0" borderId="23" xfId="187" applyFont="1" applyBorder="1"/>
    <xf numFmtId="0" fontId="54" fillId="0" borderId="24" xfId="187" applyFont="1" applyBorder="1" applyAlignment="1">
      <alignment horizontal="center"/>
    </xf>
    <xf numFmtId="0" fontId="54" fillId="0" borderId="21" xfId="187" applyFont="1" applyBorder="1" applyAlignment="1">
      <alignment horizontal="center"/>
    </xf>
    <xf numFmtId="0" fontId="54" fillId="0" borderId="20" xfId="187" applyFont="1" applyBorder="1" applyAlignment="1">
      <alignment horizontal="center"/>
    </xf>
    <xf numFmtId="0" fontId="61" fillId="0" borderId="19" xfId="187" applyFont="1" applyBorder="1" applyAlignment="1">
      <alignment horizontal="center"/>
    </xf>
    <xf numFmtId="0" fontId="61" fillId="0" borderId="0" xfId="187" applyFont="1" applyAlignment="1">
      <alignment horizontal="center" wrapText="1"/>
    </xf>
    <xf numFmtId="0" fontId="61" fillId="0" borderId="25" xfId="187" applyFont="1" applyBorder="1" applyAlignment="1">
      <alignment horizontal="center" wrapText="1"/>
    </xf>
    <xf numFmtId="0" fontId="61" fillId="0" borderId="23" xfId="187" applyFont="1" applyBorder="1" applyAlignment="1">
      <alignment horizontal="center"/>
    </xf>
    <xf numFmtId="0" fontId="54" fillId="0" borderId="20" xfId="187" applyFont="1" applyBorder="1"/>
    <xf numFmtId="175" fontId="54" fillId="0" borderId="0" xfId="187" applyNumberFormat="1" applyFont="1"/>
    <xf numFmtId="14" fontId="54" fillId="0" borderId="23" xfId="187" applyNumberFormat="1" applyFont="1" applyBorder="1" applyAlignment="1">
      <alignment horizontal="center"/>
    </xf>
    <xf numFmtId="0" fontId="54" fillId="0" borderId="0" xfId="187" applyFont="1" applyAlignment="1">
      <alignment horizontal="left"/>
    </xf>
    <xf numFmtId="182" fontId="54" fillId="0" borderId="0" xfId="266" applyNumberFormat="1" applyFont="1" applyFill="1" applyProtection="1">
      <protection locked="0"/>
    </xf>
    <xf numFmtId="175" fontId="54" fillId="0" borderId="0" xfId="59" applyNumberFormat="1" applyFont="1" applyFill="1" applyBorder="1" applyProtection="1">
      <protection locked="0"/>
    </xf>
    <xf numFmtId="175" fontId="54" fillId="0" borderId="12" xfId="59" applyNumberFormat="1" applyFont="1" applyFill="1" applyBorder="1" applyProtection="1">
      <protection locked="0"/>
    </xf>
    <xf numFmtId="175" fontId="54" fillId="0" borderId="1" xfId="59" applyNumberFormat="1" applyFont="1" applyFill="1" applyBorder="1" applyProtection="1">
      <protection locked="0"/>
    </xf>
    <xf numFmtId="175" fontId="61" fillId="0" borderId="12" xfId="59" applyNumberFormat="1" applyFont="1" applyFill="1" applyBorder="1" applyProtection="1">
      <protection locked="0"/>
    </xf>
    <xf numFmtId="176" fontId="54" fillId="0" borderId="0" xfId="93" applyNumberFormat="1" applyFont="1" applyFill="1" applyBorder="1"/>
    <xf numFmtId="174" fontId="54" fillId="0" borderId="1" xfId="0" applyFont="1" applyBorder="1"/>
    <xf numFmtId="176" fontId="54" fillId="0" borderId="1" xfId="93" applyNumberFormat="1" applyFont="1" applyFill="1" applyBorder="1"/>
    <xf numFmtId="176" fontId="54" fillId="0" borderId="0" xfId="93" applyNumberFormat="1" applyFont="1"/>
    <xf numFmtId="0" fontId="61" fillId="0" borderId="0" xfId="187" applyFont="1"/>
    <xf numFmtId="43" fontId="54" fillId="0" borderId="0" xfId="187" applyNumberFormat="1" applyFont="1"/>
    <xf numFmtId="0" fontId="61" fillId="0" borderId="24" xfId="187" applyFont="1" applyBorder="1"/>
    <xf numFmtId="0" fontId="54" fillId="0" borderId="8" xfId="187" applyFont="1" applyBorder="1"/>
    <xf numFmtId="176" fontId="61" fillId="14" borderId="26" xfId="102" applyNumberFormat="1" applyFont="1" applyFill="1" applyBorder="1"/>
    <xf numFmtId="176" fontId="61" fillId="0" borderId="0" xfId="102" applyNumberFormat="1" applyFont="1" applyFill="1" applyBorder="1"/>
    <xf numFmtId="0" fontId="61" fillId="0" borderId="0" xfId="187" quotePrefix="1" applyFont="1" applyAlignment="1">
      <alignment horizontal="center"/>
    </xf>
    <xf numFmtId="0" fontId="61" fillId="0" borderId="19" xfId="187" applyFont="1" applyBorder="1"/>
    <xf numFmtId="9" fontId="61" fillId="0" borderId="25" xfId="266" applyFont="1" applyFill="1" applyBorder="1"/>
    <xf numFmtId="10" fontId="61" fillId="0" borderId="25" xfId="283" applyNumberFormat="1" applyFont="1" applyFill="1" applyBorder="1"/>
    <xf numFmtId="9" fontId="54" fillId="0" borderId="0" xfId="187" applyNumberFormat="1" applyFont="1"/>
    <xf numFmtId="10" fontId="61" fillId="0" borderId="26" xfId="283" applyNumberFormat="1" applyFont="1" applyFill="1" applyBorder="1"/>
    <xf numFmtId="10" fontId="61" fillId="0" borderId="0" xfId="283" applyNumberFormat="1" applyFont="1" applyFill="1" applyBorder="1"/>
    <xf numFmtId="176" fontId="54" fillId="0" borderId="0" xfId="102" applyNumberFormat="1" applyFont="1" applyFill="1" applyBorder="1"/>
    <xf numFmtId="0" fontId="54" fillId="0" borderId="24" xfId="187" applyFont="1" applyBorder="1"/>
    <xf numFmtId="176" fontId="54" fillId="0" borderId="20" xfId="102" applyNumberFormat="1" applyFont="1" applyFill="1" applyBorder="1"/>
    <xf numFmtId="0" fontId="54" fillId="0" borderId="19" xfId="187" applyFont="1" applyBorder="1"/>
    <xf numFmtId="10" fontId="54" fillId="0" borderId="0" xfId="187" applyNumberFormat="1" applyFont="1"/>
    <xf numFmtId="175" fontId="54" fillId="0" borderId="0" xfId="79" applyNumberFormat="1" applyFont="1" applyFill="1" applyBorder="1"/>
    <xf numFmtId="164" fontId="54" fillId="0" borderId="0" xfId="266" applyNumberFormat="1" applyFont="1" applyFill="1" applyBorder="1"/>
    <xf numFmtId="164" fontId="54" fillId="0" borderId="0" xfId="187" applyNumberFormat="1" applyFont="1"/>
    <xf numFmtId="175" fontId="54" fillId="0" borderId="25" xfId="79" applyNumberFormat="1" applyFont="1" applyFill="1" applyBorder="1"/>
    <xf numFmtId="43" fontId="54" fillId="0" borderId="0" xfId="79" applyFont="1" applyFill="1" applyBorder="1"/>
    <xf numFmtId="175" fontId="54" fillId="0" borderId="8" xfId="79" applyNumberFormat="1" applyFont="1" applyFill="1" applyBorder="1"/>
    <xf numFmtId="175" fontId="54" fillId="0" borderId="26" xfId="79" applyNumberFormat="1" applyFont="1" applyFill="1" applyBorder="1"/>
    <xf numFmtId="174" fontId="54" fillId="0" borderId="0" xfId="0" applyFont="1" applyAlignment="1">
      <alignment horizontal="center"/>
    </xf>
    <xf numFmtId="174" fontId="54" fillId="0" borderId="0" xfId="0" applyFont="1" applyAlignment="1">
      <alignment horizontal="right"/>
    </xf>
    <xf numFmtId="174" fontId="16" fillId="0" borderId="0" xfId="201" applyFont="1"/>
    <xf numFmtId="174" fontId="21" fillId="0" borderId="0" xfId="201" applyFont="1"/>
    <xf numFmtId="174" fontId="21" fillId="0" borderId="0" xfId="201" quotePrefix="1" applyFont="1" applyAlignment="1">
      <alignment horizontal="left"/>
    </xf>
    <xf numFmtId="174" fontId="97" fillId="0" borderId="0" xfId="201" quotePrefix="1" applyFont="1" applyAlignment="1">
      <alignment horizontal="left"/>
    </xf>
    <xf numFmtId="0" fontId="54" fillId="0" borderId="0" xfId="0" applyNumberFormat="1" applyFont="1" applyAlignment="1">
      <alignment horizontal="center"/>
    </xf>
    <xf numFmtId="0" fontId="54" fillId="0" borderId="0" xfId="0" applyNumberFormat="1" applyFont="1" applyAlignment="1">
      <alignment horizontal="center" wrapText="1"/>
    </xf>
    <xf numFmtId="0" fontId="83" fillId="0" borderId="0" xfId="0" applyNumberFormat="1" applyFont="1" applyAlignment="1">
      <alignment horizontal="center"/>
    </xf>
    <xf numFmtId="174" fontId="83" fillId="0" borderId="0" xfId="0" applyFont="1" applyAlignment="1">
      <alignment horizontal="center"/>
    </xf>
    <xf numFmtId="44" fontId="83" fillId="0" borderId="0" xfId="0" applyNumberFormat="1" applyFont="1"/>
    <xf numFmtId="0" fontId="54" fillId="0" borderId="33" xfId="201" applyNumberFormat="1" applyFont="1" applyBorder="1"/>
    <xf numFmtId="0" fontId="54" fillId="0" borderId="7" xfId="201" applyNumberFormat="1" applyFont="1" applyBorder="1" applyAlignment="1">
      <alignment horizontal="center" wrapText="1"/>
    </xf>
    <xf numFmtId="175" fontId="0" fillId="0" borderId="0" xfId="59" applyNumberFormat="1" applyFont="1" applyAlignment="1"/>
    <xf numFmtId="0" fontId="21" fillId="0" borderId="0" xfId="201" applyNumberFormat="1" applyFont="1" applyProtection="1">
      <protection locked="0"/>
    </xf>
    <xf numFmtId="0" fontId="21" fillId="0" borderId="0" xfId="201" applyNumberFormat="1" applyFont="1" applyAlignment="1" applyProtection="1">
      <alignment horizontal="center"/>
      <protection locked="0"/>
    </xf>
    <xf numFmtId="3" fontId="21" fillId="0" borderId="0" xfId="201" applyNumberFormat="1" applyFont="1"/>
    <xf numFmtId="174" fontId="34" fillId="0" borderId="0" xfId="201"/>
    <xf numFmtId="0" fontId="21" fillId="0" borderId="0" xfId="201" applyNumberFormat="1" applyFont="1"/>
    <xf numFmtId="0" fontId="44" fillId="0" borderId="0" xfId="211" applyNumberFormat="1" applyFont="1" applyAlignment="1">
      <alignment horizontal="center"/>
    </xf>
    <xf numFmtId="174" fontId="44" fillId="0" borderId="0" xfId="0" applyFont="1"/>
    <xf numFmtId="43" fontId="44" fillId="0" borderId="0" xfId="59" applyFont="1" applyAlignment="1"/>
    <xf numFmtId="175" fontId="44" fillId="0" borderId="0" xfId="59" applyNumberFormat="1" applyFont="1" applyAlignment="1" applyProtection="1">
      <alignment horizontal="center"/>
      <protection locked="0"/>
    </xf>
    <xf numFmtId="0" fontId="44" fillId="0" borderId="0" xfId="211" applyNumberFormat="1" applyFont="1" applyProtection="1">
      <protection locked="0"/>
    </xf>
    <xf numFmtId="3" fontId="44" fillId="0" borderId="0" xfId="211" applyNumberFormat="1" applyFont="1"/>
    <xf numFmtId="3" fontId="44" fillId="0" borderId="8" xfId="211" applyNumberFormat="1" applyFont="1" applyBorder="1" applyAlignment="1">
      <alignment horizontal="center"/>
    </xf>
    <xf numFmtId="170" fontId="44" fillId="0" borderId="0" xfId="0" applyNumberFormat="1" applyFont="1"/>
    <xf numFmtId="0" fontId="44" fillId="0" borderId="0" xfId="211" applyNumberFormat="1" applyFont="1"/>
    <xf numFmtId="3" fontId="44" fillId="0" borderId="0" xfId="211" applyNumberFormat="1" applyFont="1" applyAlignment="1">
      <alignment horizontal="center"/>
    </xf>
    <xf numFmtId="0" fontId="44" fillId="0" borderId="8" xfId="211" applyNumberFormat="1" applyFont="1" applyBorder="1" applyAlignment="1" applyProtection="1">
      <alignment horizontal="center"/>
      <protection locked="0"/>
    </xf>
    <xf numFmtId="174" fontId="44" fillId="0" borderId="0" xfId="211" applyFont="1"/>
    <xf numFmtId="43" fontId="44" fillId="14" borderId="0" xfId="59" applyFont="1" applyFill="1" applyAlignment="1">
      <alignment horizontal="center"/>
    </xf>
    <xf numFmtId="43" fontId="44" fillId="0" borderId="0" xfId="59" applyFont="1" applyFill="1" applyAlignment="1">
      <alignment horizontal="center"/>
    </xf>
    <xf numFmtId="166" fontId="44" fillId="0" borderId="0" xfId="211" applyNumberFormat="1" applyFont="1" applyAlignment="1">
      <alignment horizontal="center"/>
    </xf>
    <xf numFmtId="164" fontId="44" fillId="0" borderId="0" xfId="211" applyNumberFormat="1" applyFont="1" applyAlignment="1">
      <alignment horizontal="left"/>
    </xf>
    <xf numFmtId="43" fontId="44" fillId="0" borderId="0" xfId="59" applyFont="1" applyFill="1" applyAlignment="1">
      <alignment horizontal="right"/>
    </xf>
    <xf numFmtId="175" fontId="44" fillId="0" borderId="0" xfId="59" applyNumberFormat="1" applyFont="1" applyBorder="1" applyAlignment="1"/>
    <xf numFmtId="10" fontId="44" fillId="0" borderId="0" xfId="211" applyNumberFormat="1" applyFont="1" applyAlignment="1">
      <alignment horizontal="left"/>
    </xf>
    <xf numFmtId="3" fontId="44" fillId="0" borderId="0" xfId="188" applyNumberFormat="1" applyFont="1"/>
    <xf numFmtId="166" fontId="44" fillId="0" borderId="0" xfId="188" applyNumberFormat="1" applyFont="1"/>
    <xf numFmtId="0" fontId="44" fillId="0" borderId="0" xfId="188" applyFont="1"/>
    <xf numFmtId="164" fontId="44" fillId="0" borderId="0" xfId="211" applyNumberFormat="1" applyFont="1" applyAlignment="1" applyProtection="1">
      <alignment horizontal="left"/>
      <protection locked="0"/>
    </xf>
    <xf numFmtId="43" fontId="44" fillId="0" borderId="1" xfId="59" applyFont="1" applyBorder="1" applyAlignment="1"/>
    <xf numFmtId="0" fontId="54" fillId="0" borderId="0" xfId="212" applyFont="1" applyAlignment="1">
      <alignment horizontal="center"/>
    </xf>
    <xf numFmtId="0" fontId="54" fillId="0" borderId="0" xfId="212" applyFont="1" applyAlignment="1">
      <alignment horizontal="center" wrapText="1"/>
    </xf>
    <xf numFmtId="0" fontId="54" fillId="0" borderId="0" xfId="206" applyFont="1" applyAlignment="1">
      <alignment horizontal="center" wrapText="1"/>
    </xf>
    <xf numFmtId="43" fontId="54" fillId="14" borderId="0" xfId="59" applyFont="1" applyFill="1"/>
    <xf numFmtId="49" fontId="54" fillId="0" borderId="0" xfId="0" applyNumberFormat="1" applyFont="1" applyAlignment="1">
      <alignment horizontal="center"/>
    </xf>
    <xf numFmtId="2" fontId="54" fillId="0" borderId="0" xfId="0" applyNumberFormat="1" applyFont="1" applyAlignment="1">
      <alignment horizontal="left"/>
    </xf>
    <xf numFmtId="0" fontId="54" fillId="0" borderId="0" xfId="211" applyNumberFormat="1" applyFont="1" applyAlignment="1" applyProtection="1">
      <alignment vertical="top"/>
      <protection locked="0"/>
    </xf>
    <xf numFmtId="174" fontId="54" fillId="0" borderId="0" xfId="211" applyFont="1" applyAlignment="1">
      <alignment vertical="top" wrapText="1"/>
    </xf>
    <xf numFmtId="0" fontId="54" fillId="0" borderId="0" xfId="188" applyFont="1" applyAlignment="1">
      <alignment vertical="top" wrapText="1"/>
    </xf>
    <xf numFmtId="0" fontId="54" fillId="0" borderId="0" xfId="188" applyFont="1" applyAlignment="1">
      <alignment vertical="top"/>
    </xf>
    <xf numFmtId="170" fontId="54" fillId="0" borderId="0" xfId="211" applyNumberFormat="1" applyFont="1" applyAlignment="1" applyProtection="1">
      <alignment vertical="top"/>
    </xf>
    <xf numFmtId="3" fontId="54" fillId="0" borderId="0" xfId="211" applyNumberFormat="1" applyFont="1" applyAlignment="1" applyProtection="1">
      <alignment vertical="top"/>
    </xf>
    <xf numFmtId="174" fontId="54" fillId="0" borderId="0" xfId="0" applyFont="1" applyAlignment="1">
      <alignment vertical="top"/>
    </xf>
    <xf numFmtId="0" fontId="14" fillId="0" borderId="0" xfId="187"/>
    <xf numFmtId="0" fontId="14" fillId="0" borderId="19" xfId="187" applyBorder="1" applyAlignment="1">
      <alignment horizontal="center"/>
    </xf>
    <xf numFmtId="0" fontId="14" fillId="0" borderId="0" xfId="187" applyAlignment="1">
      <alignment horizontal="center"/>
    </xf>
    <xf numFmtId="0" fontId="98" fillId="0" borderId="0" xfId="187" applyFont="1" applyAlignment="1">
      <alignment horizontal="left"/>
    </xf>
    <xf numFmtId="1" fontId="54" fillId="0" borderId="0" xfId="0" applyNumberFormat="1" applyFont="1" applyAlignment="1">
      <alignment horizontal="center"/>
    </xf>
    <xf numFmtId="175" fontId="44" fillId="0" borderId="0" xfId="59" applyNumberFormat="1" applyFont="1" applyAlignment="1"/>
    <xf numFmtId="174" fontId="99" fillId="0" borderId="0" xfId="0" applyFont="1"/>
    <xf numFmtId="0" fontId="108" fillId="0" borderId="0" xfId="182"/>
    <xf numFmtId="174" fontId="17" fillId="0" borderId="0" xfId="201" applyFont="1" applyAlignment="1">
      <alignment horizontal="center"/>
    </xf>
    <xf numFmtId="0" fontId="39" fillId="0" borderId="0" xfId="185" applyFont="1" applyAlignment="1">
      <alignment horizontal="center"/>
    </xf>
    <xf numFmtId="175" fontId="54" fillId="0" borderId="0" xfId="59" applyNumberFormat="1" applyFont="1" applyAlignment="1">
      <alignment horizontal="right"/>
    </xf>
    <xf numFmtId="175" fontId="54" fillId="0" borderId="8" xfId="59" applyNumberFormat="1" applyFont="1" applyBorder="1" applyAlignment="1">
      <alignment horizontal="right"/>
    </xf>
    <xf numFmtId="43" fontId="44" fillId="0" borderId="0" xfId="59" applyFont="1" applyAlignment="1">
      <alignment horizontal="right"/>
    </xf>
    <xf numFmtId="174" fontId="21" fillId="0" borderId="0" xfId="201" applyFont="1" applyAlignment="1">
      <alignment horizontal="center"/>
    </xf>
    <xf numFmtId="174" fontId="0" fillId="0" borderId="0" xfId="0" applyAlignment="1">
      <alignment horizontal="center"/>
    </xf>
    <xf numFmtId="0" fontId="21" fillId="0" borderId="0" xfId="201" applyNumberFormat="1" applyFont="1" applyAlignment="1">
      <alignment horizontal="center"/>
    </xf>
    <xf numFmtId="174" fontId="44" fillId="0" borderId="0" xfId="0" applyFont="1" applyAlignment="1">
      <alignment horizontal="center"/>
    </xf>
    <xf numFmtId="175" fontId="54" fillId="0" borderId="11" xfId="59" applyNumberFormat="1" applyFont="1" applyFill="1" applyBorder="1" applyAlignment="1"/>
    <xf numFmtId="175" fontId="54" fillId="0" borderId="15" xfId="59" applyNumberFormat="1" applyFont="1" applyFill="1" applyBorder="1" applyAlignment="1"/>
    <xf numFmtId="186" fontId="21" fillId="0" borderId="0" xfId="59" applyNumberFormat="1" applyFont="1" applyFill="1" applyAlignment="1">
      <alignment horizontal="right"/>
    </xf>
    <xf numFmtId="180" fontId="54" fillId="0" borderId="8" xfId="59" applyNumberFormat="1" applyFont="1" applyFill="1" applyBorder="1" applyProtection="1">
      <protection locked="0"/>
    </xf>
    <xf numFmtId="175" fontId="54" fillId="0" borderId="8" xfId="59" applyNumberFormat="1" applyFont="1" applyFill="1" applyBorder="1" applyAlignment="1" applyProtection="1">
      <protection locked="0"/>
    </xf>
    <xf numFmtId="49" fontId="54" fillId="0" borderId="0" xfId="0" applyNumberFormat="1" applyFont="1" applyAlignment="1">
      <alignment horizontal="center" vertical="center" wrapText="1"/>
    </xf>
    <xf numFmtId="7" fontId="103" fillId="0" borderId="0" xfId="183" applyFont="1"/>
    <xf numFmtId="7" fontId="103" fillId="0" borderId="0" xfId="183" applyFont="1" applyAlignment="1">
      <alignment horizontal="center"/>
    </xf>
    <xf numFmtId="7" fontId="104" fillId="0" borderId="0" xfId="183" applyFont="1" applyAlignment="1">
      <alignment horizontal="center"/>
    </xf>
    <xf numFmtId="7" fontId="104" fillId="0" borderId="0" xfId="183" applyFont="1"/>
    <xf numFmtId="182" fontId="105" fillId="0" borderId="0" xfId="289" applyNumberFormat="1" applyFont="1" applyFill="1" applyAlignment="1">
      <alignment horizontal="center"/>
    </xf>
    <xf numFmtId="182" fontId="104" fillId="0" borderId="0" xfId="289" applyNumberFormat="1" applyFont="1" applyFill="1" applyAlignment="1">
      <alignment horizontal="center"/>
    </xf>
    <xf numFmtId="182" fontId="104" fillId="0" borderId="0" xfId="289" applyNumberFormat="1" applyFont="1" applyFill="1"/>
    <xf numFmtId="10" fontId="104" fillId="0" borderId="0" xfId="183" applyNumberFormat="1" applyFont="1"/>
    <xf numFmtId="7" fontId="102" fillId="0" borderId="0" xfId="183"/>
    <xf numFmtId="174" fontId="14" fillId="0" borderId="0" xfId="201" applyFont="1"/>
    <xf numFmtId="174" fontId="14" fillId="0" borderId="8" xfId="201" applyFont="1" applyBorder="1"/>
    <xf numFmtId="174" fontId="14" fillId="0" borderId="0" xfId="201" applyFont="1" applyAlignment="1">
      <alignment horizontal="center" vertical="top"/>
    </xf>
    <xf numFmtId="3" fontId="44" fillId="0" borderId="0" xfId="0" applyNumberFormat="1" applyFont="1"/>
    <xf numFmtId="3" fontId="44" fillId="0" borderId="8" xfId="0" applyNumberFormat="1" applyFont="1" applyBorder="1" applyAlignment="1">
      <alignment horizontal="center"/>
    </xf>
    <xf numFmtId="0" fontId="44" fillId="0" borderId="0" xfId="0" applyNumberFormat="1" applyFont="1" applyProtection="1">
      <protection locked="0"/>
    </xf>
    <xf numFmtId="3" fontId="44" fillId="0" borderId="0" xfId="0" applyNumberFormat="1" applyFont="1" applyAlignment="1">
      <alignment horizontal="center"/>
    </xf>
    <xf numFmtId="182" fontId="85" fillId="0" borderId="0" xfId="266" applyNumberFormat="1" applyFont="1" applyFill="1" applyBorder="1"/>
    <xf numFmtId="3" fontId="54" fillId="0" borderId="0" xfId="187" applyNumberFormat="1" applyFont="1"/>
    <xf numFmtId="43" fontId="54" fillId="14" borderId="26" xfId="187" applyNumberFormat="1" applyFont="1" applyFill="1" applyBorder="1"/>
    <xf numFmtId="164" fontId="54" fillId="0" borderId="0" xfId="283" applyNumberFormat="1" applyFont="1" applyFill="1" applyBorder="1"/>
    <xf numFmtId="10" fontId="54" fillId="0" borderId="34" xfId="187" applyNumberFormat="1" applyFont="1" applyBorder="1"/>
    <xf numFmtId="175" fontId="106" fillId="0" borderId="0" xfId="79" applyNumberFormat="1" applyFont="1" applyFill="1" applyBorder="1"/>
    <xf numFmtId="182" fontId="54" fillId="0" borderId="0" xfId="266" applyNumberFormat="1" applyFont="1" applyFill="1" applyBorder="1"/>
    <xf numFmtId="187" fontId="54" fillId="0" borderId="0" xfId="79" applyNumberFormat="1" applyFont="1" applyFill="1" applyBorder="1"/>
    <xf numFmtId="174" fontId="94" fillId="0" borderId="19" xfId="0" applyFont="1" applyBorder="1"/>
    <xf numFmtId="3" fontId="54" fillId="0" borderId="0" xfId="188" applyNumberFormat="1" applyFont="1" applyAlignment="1">
      <alignment wrapText="1"/>
    </xf>
    <xf numFmtId="174" fontId="107" fillId="0" borderId="0" xfId="201" applyFont="1"/>
    <xf numFmtId="175" fontId="0" fillId="0" borderId="0" xfId="59" applyNumberFormat="1" applyFont="1" applyAlignment="1">
      <alignment horizontal="center"/>
    </xf>
    <xf numFmtId="1" fontId="21" fillId="0" borderId="0" xfId="201" applyNumberFormat="1" applyFont="1" applyAlignment="1">
      <alignment horizontal="left"/>
    </xf>
    <xf numFmtId="174" fontId="21" fillId="0" borderId="0" xfId="201" applyFont="1" applyAlignment="1">
      <alignment horizontal="left"/>
    </xf>
    <xf numFmtId="174" fontId="44" fillId="0" borderId="0" xfId="211" applyFont="1" applyAlignment="1">
      <alignment wrapText="1"/>
    </xf>
    <xf numFmtId="175" fontId="44" fillId="0" borderId="0" xfId="59" applyNumberFormat="1" applyFont="1" applyAlignment="1">
      <alignment horizontal="left" indent="2"/>
    </xf>
    <xf numFmtId="186" fontId="44" fillId="0" borderId="0" xfId="59" applyNumberFormat="1" applyFont="1" applyAlignment="1"/>
    <xf numFmtId="0" fontId="44" fillId="0" borderId="0" xfId="201" applyNumberFormat="1" applyFont="1" applyAlignment="1">
      <alignment horizontal="right"/>
    </xf>
    <xf numFmtId="43" fontId="44" fillId="0" borderId="1" xfId="59" applyFont="1" applyBorder="1" applyAlignment="1">
      <alignment horizontal="right"/>
    </xf>
    <xf numFmtId="0" fontId="83" fillId="0" borderId="0" xfId="192" applyFont="1" applyAlignment="1">
      <alignment horizontal="center" vertical="center" wrapText="1"/>
    </xf>
    <xf numFmtId="0" fontId="83" fillId="0" borderId="0" xfId="192" applyFont="1" applyAlignment="1">
      <alignment horizontal="center"/>
    </xf>
    <xf numFmtId="43" fontId="91" fillId="0" borderId="0" xfId="59" applyFont="1" applyFill="1" applyBorder="1"/>
    <xf numFmtId="176" fontId="83" fillId="0" borderId="0" xfId="93" applyNumberFormat="1" applyFont="1" applyFill="1" applyBorder="1"/>
    <xf numFmtId="0" fontId="54" fillId="0" borderId="0" xfId="208" applyNumberFormat="1" applyFont="1" applyAlignment="1" applyProtection="1">
      <alignment horizontal="center"/>
      <protection locked="0"/>
    </xf>
    <xf numFmtId="175" fontId="54" fillId="0" borderId="8" xfId="59" applyNumberFormat="1" applyFont="1" applyFill="1" applyBorder="1" applyAlignment="1">
      <alignment horizontal="center"/>
    </xf>
    <xf numFmtId="175" fontId="54" fillId="14" borderId="8" xfId="59" applyNumberFormat="1" applyFont="1" applyFill="1" applyBorder="1" applyAlignment="1">
      <alignment horizontal="center"/>
    </xf>
    <xf numFmtId="0" fontId="54" fillId="0" borderId="30" xfId="201" applyNumberFormat="1" applyFont="1" applyBorder="1"/>
    <xf numFmtId="175" fontId="54" fillId="14" borderId="10" xfId="59" applyNumberFormat="1" applyFont="1" applyFill="1" applyBorder="1" applyAlignment="1"/>
    <xf numFmtId="174" fontId="83" fillId="0" borderId="17" xfId="201" applyFont="1" applyBorder="1"/>
    <xf numFmtId="0" fontId="54" fillId="0" borderId="9" xfId="201" applyNumberFormat="1" applyFont="1" applyBorder="1" applyAlignment="1">
      <alignment horizontal="center" wrapText="1"/>
    </xf>
    <xf numFmtId="41" fontId="54" fillId="16" borderId="0" xfId="212" applyNumberFormat="1" applyFont="1" applyFill="1"/>
    <xf numFmtId="43" fontId="44" fillId="14" borderId="0" xfId="59" applyFont="1" applyFill="1" applyAlignment="1"/>
    <xf numFmtId="175" fontId="44" fillId="14" borderId="0" xfId="59" applyNumberFormat="1" applyFont="1" applyFill="1" applyAlignment="1"/>
    <xf numFmtId="175" fontId="44" fillId="0" borderId="0" xfId="59" applyNumberFormat="1" applyFont="1" applyFill="1" applyAlignment="1" applyProtection="1">
      <protection locked="0"/>
    </xf>
    <xf numFmtId="175" fontId="44" fillId="14" borderId="8" xfId="59" applyNumberFormat="1" applyFont="1" applyFill="1" applyBorder="1" applyAlignment="1"/>
    <xf numFmtId="43" fontId="21" fillId="0" borderId="0" xfId="59" applyFont="1" applyAlignment="1"/>
    <xf numFmtId="43" fontId="21" fillId="0" borderId="3" xfId="59" applyFont="1" applyBorder="1" applyAlignment="1"/>
    <xf numFmtId="43" fontId="21" fillId="0" borderId="0" xfId="59" applyFont="1" applyBorder="1" applyAlignment="1"/>
    <xf numFmtId="14" fontId="106" fillId="17" borderId="19" xfId="187" applyNumberFormat="1" applyFont="1" applyFill="1" applyBorder="1" applyAlignment="1">
      <alignment horizontal="center"/>
    </xf>
    <xf numFmtId="0" fontId="54" fillId="17" borderId="0" xfId="187" applyFont="1" applyFill="1" applyAlignment="1">
      <alignment horizontal="center"/>
    </xf>
    <xf numFmtId="0" fontId="106" fillId="17" borderId="0" xfId="187" applyFont="1" applyFill="1" applyAlignment="1">
      <alignment horizontal="center"/>
    </xf>
    <xf numFmtId="169" fontId="44" fillId="18" borderId="0" xfId="59" applyNumberFormat="1" applyFont="1" applyFill="1" applyAlignment="1"/>
    <xf numFmtId="43" fontId="54" fillId="17" borderId="0" xfId="59" applyFont="1" applyFill="1" applyAlignment="1"/>
    <xf numFmtId="44" fontId="54" fillId="0" borderId="0" xfId="0" applyNumberFormat="1" applyFont="1"/>
    <xf numFmtId="3" fontId="54" fillId="0" borderId="0" xfId="187" applyNumberFormat="1" applyFont="1" applyAlignment="1">
      <alignment horizontal="center" wrapText="1"/>
    </xf>
    <xf numFmtId="0" fontId="54" fillId="0" borderId="0" xfId="187" applyFont="1" applyAlignment="1">
      <alignment horizontal="center" wrapText="1"/>
    </xf>
    <xf numFmtId="0" fontId="54" fillId="17" borderId="0" xfId="187" applyFont="1" applyFill="1"/>
    <xf numFmtId="175" fontId="54" fillId="17" borderId="0" xfId="59" applyNumberFormat="1" applyFont="1" applyFill="1" applyBorder="1" applyAlignment="1">
      <alignment horizontal="center"/>
    </xf>
    <xf numFmtId="174" fontId="84" fillId="17" borderId="0" xfId="0" applyFont="1" applyFill="1"/>
    <xf numFmtId="175" fontId="54" fillId="0" borderId="0" xfId="59" applyNumberFormat="1" applyFont="1" applyFill="1" applyBorder="1" applyAlignment="1">
      <alignment horizontal="center" wrapText="1"/>
    </xf>
    <xf numFmtId="175" fontId="54" fillId="17" borderId="0" xfId="59" applyNumberFormat="1" applyFont="1" applyFill="1" applyBorder="1"/>
    <xf numFmtId="0" fontId="54" fillId="17" borderId="1" xfId="187" applyFont="1" applyFill="1" applyBorder="1"/>
    <xf numFmtId="175" fontId="54" fillId="17" borderId="1" xfId="59" applyNumberFormat="1" applyFont="1" applyFill="1" applyBorder="1"/>
    <xf numFmtId="175" fontId="54" fillId="17" borderId="1" xfId="59" applyNumberFormat="1" applyFont="1" applyFill="1" applyBorder="1" applyAlignment="1">
      <alignment horizontal="center"/>
    </xf>
    <xf numFmtId="174" fontId="84" fillId="17" borderId="1" xfId="0" applyFont="1" applyFill="1" applyBorder="1"/>
    <xf numFmtId="175" fontId="54" fillId="0" borderId="1" xfId="59" applyNumberFormat="1" applyFont="1" applyFill="1" applyBorder="1" applyAlignment="1">
      <alignment horizontal="center" wrapText="1"/>
    </xf>
    <xf numFmtId="175" fontId="54" fillId="0" borderId="0" xfId="59" applyNumberFormat="1" applyFont="1" applyFill="1" applyBorder="1"/>
    <xf numFmtId="0" fontId="54" fillId="0" borderId="0" xfId="0" applyNumberFormat="1" applyFont="1" applyAlignment="1">
      <alignment horizontal="center" vertical="top"/>
    </xf>
    <xf numFmtId="187" fontId="54" fillId="0" borderId="0" xfId="59" applyNumberFormat="1" applyFont="1" applyFill="1" applyAlignment="1"/>
    <xf numFmtId="174" fontId="54" fillId="0" borderId="30" xfId="0" applyFont="1" applyBorder="1"/>
    <xf numFmtId="174" fontId="54" fillId="0" borderId="31" xfId="0" applyFont="1" applyBorder="1"/>
    <xf numFmtId="174" fontId="54" fillId="0" borderId="33" xfId="0" applyFont="1" applyBorder="1" applyAlignment="1">
      <alignment horizontal="center"/>
    </xf>
    <xf numFmtId="174" fontId="54" fillId="0" borderId="3" xfId="0" applyFont="1" applyBorder="1"/>
    <xf numFmtId="174" fontId="54" fillId="0" borderId="15" xfId="0" applyFont="1" applyBorder="1" applyAlignment="1">
      <alignment horizontal="center"/>
    </xf>
    <xf numFmtId="174" fontId="54" fillId="17" borderId="0" xfId="0" applyFont="1" applyFill="1"/>
    <xf numFmtId="174" fontId="54" fillId="0" borderId="33" xfId="0" applyFont="1" applyBorder="1"/>
    <xf numFmtId="174" fontId="54" fillId="0" borderId="11" xfId="0" applyFont="1" applyBorder="1"/>
    <xf numFmtId="174" fontId="54" fillId="0" borderId="9" xfId="0" applyFont="1" applyBorder="1" applyAlignment="1">
      <alignment horizontal="center"/>
    </xf>
    <xf numFmtId="174" fontId="54" fillId="0" borderId="11" xfId="0" applyFont="1" applyBorder="1" applyAlignment="1">
      <alignment horizontal="center"/>
    </xf>
    <xf numFmtId="174" fontId="54" fillId="0" borderId="15" xfId="0" applyFont="1" applyBorder="1"/>
    <xf numFmtId="176" fontId="54" fillId="0" borderId="32" xfId="93" applyNumberFormat="1" applyFont="1" applyFill="1" applyBorder="1"/>
    <xf numFmtId="174" fontId="54" fillId="0" borderId="0" xfId="0" applyFont="1" applyProtection="1"/>
    <xf numFmtId="174" fontId="54" fillId="0" borderId="1" xfId="201" applyFont="1" applyBorder="1" applyAlignment="1">
      <alignment horizontal="center"/>
    </xf>
    <xf numFmtId="174" fontId="54" fillId="0" borderId="30" xfId="201" applyFont="1" applyBorder="1" applyAlignment="1">
      <alignment horizontal="center"/>
    </xf>
    <xf numFmtId="174" fontId="54" fillId="0" borderId="33" xfId="201" applyFont="1" applyBorder="1" applyAlignment="1">
      <alignment horizontal="center"/>
    </xf>
    <xf numFmtId="174" fontId="54" fillId="0" borderId="10" xfId="201" applyFont="1" applyBorder="1" applyAlignment="1">
      <alignment horizontal="center"/>
    </xf>
    <xf numFmtId="174" fontId="54" fillId="0" borderId="11" xfId="201" applyFont="1" applyBorder="1" applyAlignment="1">
      <alignment horizontal="center"/>
    </xf>
    <xf numFmtId="43" fontId="54" fillId="17" borderId="10" xfId="59" applyFont="1" applyFill="1" applyBorder="1" applyAlignment="1">
      <alignment horizontal="center"/>
    </xf>
    <xf numFmtId="43" fontId="54" fillId="17" borderId="11" xfId="59" applyFont="1" applyFill="1" applyBorder="1" applyAlignment="1"/>
    <xf numFmtId="175" fontId="54" fillId="0" borderId="11" xfId="59" applyNumberFormat="1" applyFont="1" applyBorder="1" applyAlignment="1"/>
    <xf numFmtId="174" fontId="54" fillId="0" borderId="17" xfId="201" applyFont="1" applyBorder="1" applyAlignment="1">
      <alignment horizontal="center"/>
    </xf>
    <xf numFmtId="0" fontId="54" fillId="0" borderId="0" xfId="210" applyFont="1"/>
    <xf numFmtId="174" fontId="61" fillId="0" borderId="19" xfId="0" applyFont="1" applyBorder="1" applyAlignment="1">
      <alignment horizontal="center"/>
    </xf>
    <xf numFmtId="0" fontId="54" fillId="17" borderId="19" xfId="0" applyNumberFormat="1" applyFont="1" applyFill="1" applyBorder="1" applyAlignment="1">
      <alignment horizontal="center"/>
    </xf>
    <xf numFmtId="0" fontId="54" fillId="17" borderId="19" xfId="0" applyNumberFormat="1" applyFont="1" applyFill="1" applyBorder="1" applyAlignment="1" applyProtection="1">
      <alignment horizontal="center"/>
      <protection locked="0"/>
    </xf>
    <xf numFmtId="174" fontId="54" fillId="17" borderId="11" xfId="0" applyFont="1" applyFill="1" applyBorder="1"/>
    <xf numFmtId="0" fontId="61" fillId="0" borderId="0" xfId="187" applyFont="1" applyAlignment="1">
      <alignment horizontal="left"/>
    </xf>
    <xf numFmtId="176" fontId="54" fillId="0" borderId="25" xfId="102" applyNumberFormat="1" applyFont="1" applyFill="1" applyBorder="1" applyAlignment="1">
      <alignment horizontal="center"/>
    </xf>
    <xf numFmtId="0" fontId="54" fillId="17" borderId="19" xfId="187" applyFont="1" applyFill="1" applyBorder="1"/>
    <xf numFmtId="175" fontId="54" fillId="17" borderId="0" xfId="79" applyNumberFormat="1" applyFont="1" applyFill="1" applyBorder="1" applyAlignment="1">
      <alignment horizontal="right"/>
    </xf>
    <xf numFmtId="175" fontId="54" fillId="17" borderId="25" xfId="79" applyNumberFormat="1" applyFont="1" applyFill="1" applyBorder="1" applyAlignment="1">
      <alignment horizontal="right"/>
    </xf>
    <xf numFmtId="175" fontId="85" fillId="0" borderId="0" xfId="187" applyNumberFormat="1" applyFont="1"/>
    <xf numFmtId="175" fontId="54" fillId="17" borderId="0" xfId="79" applyNumberFormat="1" applyFont="1" applyFill="1" applyBorder="1"/>
    <xf numFmtId="43" fontId="54" fillId="17" borderId="0" xfId="59" applyFont="1" applyFill="1" applyBorder="1"/>
    <xf numFmtId="0" fontId="54" fillId="0" borderId="18" xfId="187" applyFont="1" applyBorder="1"/>
    <xf numFmtId="175" fontId="61" fillId="0" borderId="35" xfId="79" applyNumberFormat="1" applyFont="1" applyFill="1" applyBorder="1"/>
    <xf numFmtId="0" fontId="54" fillId="17" borderId="24" xfId="187" applyFont="1" applyFill="1" applyBorder="1"/>
    <xf numFmtId="175" fontId="54" fillId="17" borderId="21" xfId="79" applyNumberFormat="1" applyFont="1" applyFill="1" applyBorder="1"/>
    <xf numFmtId="0" fontId="54" fillId="17" borderId="21" xfId="187" applyFont="1" applyFill="1" applyBorder="1"/>
    <xf numFmtId="175" fontId="54" fillId="17" borderId="20" xfId="79" applyNumberFormat="1" applyFont="1" applyFill="1" applyBorder="1"/>
    <xf numFmtId="0" fontId="61" fillId="17" borderId="19" xfId="187" applyFont="1" applyFill="1" applyBorder="1"/>
    <xf numFmtId="43" fontId="54" fillId="14" borderId="25" xfId="187" applyNumberFormat="1" applyFont="1" applyFill="1" applyBorder="1"/>
    <xf numFmtId="0" fontId="61" fillId="17" borderId="23" xfId="187" applyFont="1" applyFill="1" applyBorder="1"/>
    <xf numFmtId="175" fontId="54" fillId="17" borderId="8" xfId="79" applyNumberFormat="1" applyFont="1" applyFill="1" applyBorder="1"/>
    <xf numFmtId="0" fontId="54" fillId="17" borderId="8" xfId="187" applyFont="1" applyFill="1" applyBorder="1"/>
    <xf numFmtId="10" fontId="54" fillId="17" borderId="8" xfId="283" applyNumberFormat="1" applyFont="1" applyFill="1" applyBorder="1"/>
    <xf numFmtId="0" fontId="54" fillId="0" borderId="8" xfId="187" applyFont="1" applyBorder="1" applyAlignment="1">
      <alignment horizontal="center" wrapText="1"/>
    </xf>
    <xf numFmtId="0" fontId="54" fillId="0" borderId="26" xfId="187" applyFont="1" applyBorder="1" applyAlignment="1">
      <alignment horizontal="center" wrapText="1"/>
    </xf>
    <xf numFmtId="175" fontId="106" fillId="17" borderId="0" xfId="79" applyNumberFormat="1" applyFont="1" applyFill="1" applyBorder="1"/>
    <xf numFmtId="14" fontId="54" fillId="17" borderId="19" xfId="187" applyNumberFormat="1" applyFont="1" applyFill="1" applyBorder="1" applyAlignment="1">
      <alignment horizontal="center"/>
    </xf>
    <xf numFmtId="0" fontId="54" fillId="17" borderId="0" xfId="187" quotePrefix="1" applyFont="1" applyFill="1" applyAlignment="1">
      <alignment horizontal="center"/>
    </xf>
    <xf numFmtId="0" fontId="54" fillId="0" borderId="0" xfId="206" applyFont="1" applyAlignment="1">
      <alignment horizontal="left"/>
    </xf>
    <xf numFmtId="49" fontId="14" fillId="0" borderId="0" xfId="187" applyNumberFormat="1" applyAlignment="1">
      <alignment horizontal="center"/>
    </xf>
    <xf numFmtId="174" fontId="61" fillId="0" borderId="1" xfId="201" applyFont="1" applyBorder="1" applyAlignment="1">
      <alignment horizontal="center" wrapText="1"/>
    </xf>
    <xf numFmtId="174" fontId="61" fillId="0" borderId="0" xfId="201" applyFont="1" applyAlignment="1">
      <alignment horizontal="center" wrapText="1"/>
    </xf>
    <xf numFmtId="0" fontId="54" fillId="0" borderId="0" xfId="204" applyFont="1"/>
    <xf numFmtId="0" fontId="54" fillId="0" borderId="0" xfId="204" applyFont="1" applyAlignment="1">
      <alignment wrapText="1"/>
    </xf>
    <xf numFmtId="174" fontId="54" fillId="14" borderId="0" xfId="0" applyFont="1" applyFill="1"/>
    <xf numFmtId="174" fontId="100" fillId="0" borderId="0" xfId="0" applyFont="1"/>
    <xf numFmtId="0" fontId="14" fillId="0" borderId="0" xfId="0" applyNumberFormat="1" applyFont="1" applyAlignment="1">
      <alignment horizontal="center" vertical="center"/>
    </xf>
    <xf numFmtId="174" fontId="14" fillId="0" borderId="0" xfId="0" applyFont="1"/>
    <xf numFmtId="176" fontId="54" fillId="17" borderId="25" xfId="93" applyNumberFormat="1" applyFont="1" applyFill="1" applyBorder="1" applyProtection="1">
      <protection locked="0"/>
    </xf>
    <xf numFmtId="176" fontId="54" fillId="0" borderId="29" xfId="93" applyNumberFormat="1" applyFont="1" applyFill="1" applyBorder="1" applyProtection="1">
      <protection locked="0"/>
    </xf>
    <xf numFmtId="176" fontId="54" fillId="0" borderId="25" xfId="93" applyNumberFormat="1" applyFont="1" applyFill="1" applyBorder="1" applyProtection="1">
      <protection locked="0"/>
    </xf>
    <xf numFmtId="174" fontId="54" fillId="0" borderId="0" xfId="201" applyFont="1" applyAlignment="1">
      <alignment vertical="top"/>
    </xf>
    <xf numFmtId="174" fontId="14" fillId="0" borderId="0" xfId="201" applyFont="1" applyAlignment="1">
      <alignment horizontal="left"/>
    </xf>
    <xf numFmtId="7" fontId="104" fillId="0" borderId="0" xfId="183" applyFont="1" applyAlignment="1">
      <alignment horizontal="left"/>
    </xf>
    <xf numFmtId="174" fontId="54" fillId="0" borderId="0" xfId="0" applyFont="1" applyAlignment="1">
      <alignment horizontal="left" vertical="center" wrapText="1"/>
    </xf>
    <xf numFmtId="175" fontId="54" fillId="14" borderId="0" xfId="59" applyNumberFormat="1" applyFont="1" applyFill="1"/>
    <xf numFmtId="175" fontId="54" fillId="14" borderId="0" xfId="59" applyNumberFormat="1" applyFont="1" applyFill="1" applyAlignment="1">
      <alignment horizontal="right"/>
    </xf>
    <xf numFmtId="175" fontId="54" fillId="0" borderId="3" xfId="93" applyNumberFormat="1" applyFont="1" applyBorder="1" applyAlignment="1">
      <alignment horizontal="right"/>
    </xf>
    <xf numFmtId="174" fontId="61" fillId="17" borderId="1" xfId="201" applyFont="1" applyFill="1" applyBorder="1" applyAlignment="1">
      <alignment horizontal="center" wrapText="1"/>
    </xf>
    <xf numFmtId="0" fontId="54" fillId="0" borderId="0" xfId="59" applyNumberFormat="1" applyFont="1" applyFill="1" applyBorder="1" applyAlignment="1">
      <alignment horizontal="center"/>
    </xf>
    <xf numFmtId="0" fontId="54" fillId="0" borderId="0" xfId="59" applyNumberFormat="1" applyFont="1" applyFill="1" applyBorder="1" applyAlignment="1" applyProtection="1">
      <alignment horizontal="center"/>
      <protection locked="0"/>
    </xf>
    <xf numFmtId="0" fontId="54" fillId="0" borderId="0" xfId="59" applyNumberFormat="1" applyFont="1" applyAlignment="1">
      <alignment horizontal="center"/>
    </xf>
    <xf numFmtId="176" fontId="54" fillId="17" borderId="10" xfId="93" applyNumberFormat="1" applyFont="1" applyFill="1" applyBorder="1"/>
    <xf numFmtId="174" fontId="54" fillId="0" borderId="30" xfId="0" applyFont="1" applyBorder="1" applyAlignment="1">
      <alignment horizontal="center"/>
    </xf>
    <xf numFmtId="174" fontId="54" fillId="0" borderId="10" xfId="0" applyFont="1" applyBorder="1" applyAlignment="1">
      <alignment horizontal="center"/>
    </xf>
    <xf numFmtId="174" fontId="54" fillId="0" borderId="12" xfId="0" applyFont="1" applyBorder="1" applyAlignment="1">
      <alignment horizontal="center"/>
    </xf>
    <xf numFmtId="174" fontId="107" fillId="0" borderId="15" xfId="201" applyFont="1" applyBorder="1" applyAlignment="1">
      <alignment horizontal="center"/>
    </xf>
    <xf numFmtId="43" fontId="54" fillId="17" borderId="30" xfId="59" applyFont="1" applyFill="1" applyBorder="1"/>
    <xf numFmtId="43" fontId="54" fillId="0" borderId="33" xfId="59" applyFont="1" applyBorder="1"/>
    <xf numFmtId="43" fontId="54" fillId="0" borderId="12" xfId="59" applyFont="1" applyBorder="1"/>
    <xf numFmtId="43" fontId="54" fillId="17" borderId="31" xfId="59" applyFont="1" applyFill="1" applyBorder="1"/>
    <xf numFmtId="43" fontId="54" fillId="0" borderId="11" xfId="59" applyFont="1" applyBorder="1" applyAlignment="1">
      <alignment horizontal="center"/>
    </xf>
    <xf numFmtId="43" fontId="54" fillId="17" borderId="33" xfId="59" applyFont="1" applyFill="1" applyBorder="1" applyAlignment="1">
      <alignment horizontal="center"/>
    </xf>
    <xf numFmtId="43" fontId="54" fillId="17" borderId="10" xfId="59" applyFont="1" applyFill="1" applyBorder="1"/>
    <xf numFmtId="43" fontId="54" fillId="0" borderId="11" xfId="59" applyFont="1" applyBorder="1"/>
    <xf numFmtId="43" fontId="54" fillId="17" borderId="12" xfId="59" applyFont="1" applyFill="1" applyBorder="1"/>
    <xf numFmtId="43" fontId="54" fillId="17" borderId="11" xfId="59" applyFont="1" applyFill="1" applyBorder="1"/>
    <xf numFmtId="176" fontId="54" fillId="0" borderId="17" xfId="93" applyNumberFormat="1" applyFont="1" applyFill="1" applyBorder="1"/>
    <xf numFmtId="10" fontId="54" fillId="0" borderId="15" xfId="266" applyNumberFormat="1" applyFont="1" applyBorder="1"/>
    <xf numFmtId="43" fontId="54" fillId="0" borderId="0" xfId="59" applyFont="1"/>
    <xf numFmtId="43" fontId="54" fillId="17" borderId="0" xfId="59" applyFont="1" applyFill="1"/>
    <xf numFmtId="0" fontId="61" fillId="0" borderId="0" xfId="59" applyNumberFormat="1" applyFont="1" applyFill="1" applyBorder="1" applyAlignment="1">
      <alignment horizontal="left"/>
    </xf>
    <xf numFmtId="0" fontId="54" fillId="0" borderId="0" xfId="59" applyNumberFormat="1" applyFont="1" applyFill="1" applyAlignment="1">
      <alignment horizontal="center"/>
    </xf>
    <xf numFmtId="0" fontId="54" fillId="0" borderId="0" xfId="59" applyNumberFormat="1" applyFont="1" applyFill="1" applyAlignment="1">
      <alignment horizontal="center" vertical="top"/>
    </xf>
    <xf numFmtId="3" fontId="54" fillId="0" borderId="0" xfId="188" applyNumberFormat="1" applyFont="1" applyAlignment="1">
      <alignment horizontal="center" wrapText="1"/>
    </xf>
    <xf numFmtId="174" fontId="54" fillId="0" borderId="0" xfId="0" applyFont="1" applyAlignment="1">
      <alignment vertical="center" wrapText="1"/>
    </xf>
    <xf numFmtId="174" fontId="54" fillId="0" borderId="0" xfId="0" applyFont="1" applyAlignment="1">
      <alignment horizontal="left" vertical="center"/>
    </xf>
    <xf numFmtId="0" fontId="54" fillId="0" borderId="0" xfId="0" applyNumberFormat="1" applyFont="1" applyAlignment="1">
      <alignment vertical="top"/>
    </xf>
    <xf numFmtId="174" fontId="54" fillId="0" borderId="0" xfId="0" applyFont="1" applyAlignment="1">
      <alignment horizontal="center" wrapText="1"/>
    </xf>
    <xf numFmtId="174" fontId="61" fillId="0" borderId="0" xfId="0" applyFont="1"/>
    <xf numFmtId="174" fontId="61" fillId="0" borderId="0" xfId="211" applyFont="1" applyAlignment="1">
      <alignment horizontal="center" wrapText="1"/>
    </xf>
    <xf numFmtId="0" fontId="61" fillId="0" borderId="0" xfId="188" applyFont="1" applyAlignment="1">
      <alignment horizontal="center" vertical="center" wrapText="1"/>
    </xf>
    <xf numFmtId="0" fontId="61" fillId="0" borderId="0" xfId="211" applyNumberFormat="1" applyFont="1" applyAlignment="1">
      <alignment horizontal="center" wrapText="1"/>
    </xf>
    <xf numFmtId="10" fontId="54" fillId="0" borderId="0" xfId="266" applyNumberFormat="1" applyFont="1" applyFill="1" applyAlignment="1"/>
    <xf numFmtId="49" fontId="54" fillId="0" borderId="0" xfId="211" applyNumberFormat="1" applyFont="1" applyProtection="1">
      <protection locked="0"/>
    </xf>
    <xf numFmtId="3" fontId="54" fillId="0" borderId="8" xfId="188" applyNumberFormat="1" applyFont="1" applyBorder="1"/>
    <xf numFmtId="3" fontId="61" fillId="0" borderId="0" xfId="201" applyNumberFormat="1" applyFont="1" applyAlignment="1">
      <alignment horizontal="center" wrapText="1"/>
    </xf>
    <xf numFmtId="174" fontId="61" fillId="0" borderId="22" xfId="201" applyFont="1" applyBorder="1" applyAlignment="1">
      <alignment horizontal="center" wrapText="1"/>
    </xf>
    <xf numFmtId="174" fontId="61" fillId="0" borderId="6" xfId="201" applyFont="1" applyBorder="1"/>
    <xf numFmtId="174" fontId="61" fillId="0" borderId="6" xfId="201" applyFont="1" applyBorder="1" applyAlignment="1">
      <alignment horizontal="center" wrapText="1"/>
    </xf>
    <xf numFmtId="174" fontId="54" fillId="17" borderId="0" xfId="201" applyFont="1" applyFill="1"/>
    <xf numFmtId="174" fontId="61" fillId="0" borderId="24" xfId="201" applyFont="1" applyBorder="1" applyAlignment="1">
      <alignment horizontal="center" wrapText="1"/>
    </xf>
    <xf numFmtId="174" fontId="61" fillId="0" borderId="21" xfId="201" applyFont="1" applyBorder="1"/>
    <xf numFmtId="0" fontId="61" fillId="0" borderId="21" xfId="201" applyNumberFormat="1" applyFont="1" applyBorder="1" applyAlignment="1">
      <alignment horizontal="center" wrapText="1"/>
    </xf>
    <xf numFmtId="174" fontId="61" fillId="0" borderId="21" xfId="201" applyFont="1" applyBorder="1" applyAlignment="1">
      <alignment horizontal="center" wrapText="1"/>
    </xf>
    <xf numFmtId="3" fontId="61" fillId="0" borderId="21" xfId="201" applyNumberFormat="1" applyFont="1" applyBorder="1" applyAlignment="1">
      <alignment horizontal="center" wrapText="1"/>
    </xf>
    <xf numFmtId="3" fontId="61" fillId="0" borderId="20" xfId="201" applyNumberFormat="1" applyFont="1" applyBorder="1" applyAlignment="1">
      <alignment horizontal="center" wrapText="1"/>
    </xf>
    <xf numFmtId="174" fontId="54" fillId="0" borderId="19" xfId="201" applyFont="1" applyBorder="1" applyAlignment="1">
      <alignment horizontal="center"/>
    </xf>
    <xf numFmtId="174" fontId="54" fillId="0" borderId="23" xfId="201" applyFont="1" applyBorder="1" applyAlignment="1">
      <alignment horizontal="center"/>
    </xf>
    <xf numFmtId="174" fontId="54" fillId="17" borderId="8" xfId="201" applyFont="1" applyFill="1" applyBorder="1"/>
    <xf numFmtId="0" fontId="54" fillId="0" borderId="0" xfId="201" applyNumberFormat="1" applyFont="1" applyAlignment="1">
      <alignment horizontal="center" wrapText="1"/>
    </xf>
    <xf numFmtId="174" fontId="54" fillId="0" borderId="0" xfId="201" applyFont="1" applyAlignment="1">
      <alignment horizontal="center" wrapText="1"/>
    </xf>
    <xf numFmtId="0" fontId="54" fillId="0" borderId="0" xfId="201" applyNumberFormat="1" applyFont="1" applyAlignment="1">
      <alignment horizontal="left" wrapText="1"/>
    </xf>
    <xf numFmtId="43" fontId="54" fillId="0" borderId="0" xfId="59" applyFont="1" applyBorder="1" applyAlignment="1"/>
    <xf numFmtId="43" fontId="54" fillId="17" borderId="0" xfId="59" applyFont="1" applyFill="1" applyBorder="1" applyAlignment="1"/>
    <xf numFmtId="174" fontId="54" fillId="0" borderId="24" xfId="201" applyFont="1" applyBorder="1" applyAlignment="1">
      <alignment horizontal="center"/>
    </xf>
    <xf numFmtId="174" fontId="54" fillId="0" borderId="21" xfId="201" applyFont="1" applyBorder="1"/>
    <xf numFmtId="174" fontId="54" fillId="17" borderId="21" xfId="201" applyFont="1" applyFill="1" applyBorder="1"/>
    <xf numFmtId="175" fontId="54" fillId="0" borderId="21" xfId="59" applyNumberFormat="1" applyFont="1" applyFill="1" applyBorder="1" applyAlignment="1"/>
    <xf numFmtId="43" fontId="54" fillId="0" borderId="21" xfId="59" applyFont="1" applyFill="1" applyBorder="1" applyAlignment="1"/>
    <xf numFmtId="43" fontId="54" fillId="17" borderId="21" xfId="59" applyFont="1" applyFill="1" applyBorder="1" applyAlignment="1"/>
    <xf numFmtId="43" fontId="54" fillId="0" borderId="8" xfId="59" applyFont="1" applyFill="1" applyBorder="1" applyAlignment="1"/>
    <xf numFmtId="43" fontId="54" fillId="17" borderId="8" xfId="59" applyFont="1" applyFill="1" applyBorder="1" applyAlignment="1"/>
    <xf numFmtId="43" fontId="54" fillId="14" borderId="0" xfId="59" applyFont="1" applyFill="1" applyBorder="1" applyAlignment="1"/>
    <xf numFmtId="3" fontId="54" fillId="0" borderId="0" xfId="201" applyNumberFormat="1" applyFont="1" applyAlignment="1">
      <alignment horizontal="center" wrapText="1"/>
    </xf>
    <xf numFmtId="174" fontId="83" fillId="0" borderId="0" xfId="201" applyFont="1"/>
    <xf numFmtId="0" fontId="54" fillId="0" borderId="1" xfId="201" applyNumberFormat="1" applyFont="1" applyBorder="1"/>
    <xf numFmtId="0" fontId="54" fillId="0" borderId="1" xfId="201" applyNumberFormat="1" applyFont="1" applyBorder="1" applyAlignment="1">
      <alignment horizontal="center"/>
    </xf>
    <xf numFmtId="0" fontId="54" fillId="0" borderId="37" xfId="201" applyNumberFormat="1" applyFont="1" applyBorder="1"/>
    <xf numFmtId="0" fontId="54" fillId="0" borderId="19" xfId="201" applyNumberFormat="1" applyFont="1" applyBorder="1"/>
    <xf numFmtId="174" fontId="54" fillId="0" borderId="23" xfId="201" applyFont="1" applyBorder="1"/>
    <xf numFmtId="0" fontId="54" fillId="0" borderId="25" xfId="201" applyNumberFormat="1" applyFont="1" applyBorder="1"/>
    <xf numFmtId="174" fontId="54" fillId="0" borderId="19" xfId="209" applyFont="1" applyBorder="1"/>
    <xf numFmtId="43" fontId="54" fillId="0" borderId="25" xfId="59" applyFont="1" applyFill="1" applyBorder="1" applyAlignment="1"/>
    <xf numFmtId="174" fontId="83" fillId="0" borderId="8" xfId="201" applyFont="1" applyBorder="1"/>
    <xf numFmtId="174" fontId="83" fillId="0" borderId="26" xfId="201" applyFont="1" applyBorder="1"/>
    <xf numFmtId="0" fontId="54" fillId="0" borderId="29" xfId="201" applyNumberFormat="1" applyFont="1" applyBorder="1" applyAlignment="1">
      <alignment horizontal="center"/>
    </xf>
    <xf numFmtId="174" fontId="61" fillId="0" borderId="36" xfId="201" applyFont="1" applyBorder="1" applyAlignment="1">
      <alignment horizontal="center" wrapText="1"/>
    </xf>
    <xf numFmtId="175" fontId="54" fillId="0" borderId="25" xfId="59" applyNumberFormat="1" applyFont="1" applyFill="1" applyBorder="1" applyAlignment="1"/>
    <xf numFmtId="175" fontId="54" fillId="0" borderId="0" xfId="0" applyNumberFormat="1" applyFont="1"/>
    <xf numFmtId="174" fontId="54" fillId="0" borderId="21" xfId="0" applyFont="1" applyBorder="1"/>
    <xf numFmtId="175" fontId="54" fillId="0" borderId="21" xfId="59" applyNumberFormat="1" applyFont="1" applyBorder="1" applyAlignment="1"/>
    <xf numFmtId="175" fontId="54" fillId="0" borderId="20" xfId="59" applyNumberFormat="1" applyFont="1" applyBorder="1" applyAlignment="1"/>
    <xf numFmtId="175" fontId="54" fillId="0" borderId="25" xfId="59" applyNumberFormat="1" applyFont="1" applyBorder="1" applyAlignment="1"/>
    <xf numFmtId="175" fontId="54" fillId="0" borderId="26" xfId="59" applyNumberFormat="1" applyFont="1" applyBorder="1" applyAlignment="1"/>
    <xf numFmtId="175" fontId="54" fillId="17" borderId="21" xfId="59" applyNumberFormat="1" applyFont="1" applyFill="1" applyBorder="1" applyAlignment="1"/>
    <xf numFmtId="175" fontId="86" fillId="0" borderId="0" xfId="59" applyNumberFormat="1" applyFont="1" applyFill="1" applyBorder="1"/>
    <xf numFmtId="279" fontId="88" fillId="0" borderId="0" xfId="59" applyNumberFormat="1" applyFont="1" applyFill="1" applyBorder="1" applyAlignment="1"/>
    <xf numFmtId="187" fontId="61" fillId="0" borderId="0" xfId="59" applyNumberFormat="1" applyFont="1" applyFill="1" applyBorder="1" applyAlignment="1"/>
    <xf numFmtId="10" fontId="54" fillId="17" borderId="34" xfId="266" applyNumberFormat="1" applyFont="1" applyFill="1" applyBorder="1"/>
    <xf numFmtId="175" fontId="54" fillId="0" borderId="0" xfId="79" applyNumberFormat="1" applyFont="1" applyFill="1"/>
    <xf numFmtId="0" fontId="54" fillId="0" borderId="0" xfId="211" quotePrefix="1" applyNumberFormat="1" applyFont="1" applyProtection="1">
      <protection locked="0"/>
    </xf>
    <xf numFmtId="175" fontId="54" fillId="0" borderId="0" xfId="59" applyNumberFormat="1" applyFont="1" applyFill="1"/>
    <xf numFmtId="0" fontId="110" fillId="0" borderId="0" xfId="187" applyFont="1"/>
    <xf numFmtId="0" fontId="54" fillId="0" borderId="0" xfId="187" applyFont="1" applyAlignment="1">
      <alignment horizontal="right"/>
    </xf>
    <xf numFmtId="174" fontId="54" fillId="0" borderId="31" xfId="0" applyFont="1" applyBorder="1" applyAlignment="1">
      <alignment horizontal="center"/>
    </xf>
    <xf numFmtId="178" fontId="104" fillId="0" borderId="0" xfId="59" applyNumberFormat="1" applyFont="1" applyFill="1" applyAlignment="1">
      <alignment horizontal="left"/>
    </xf>
    <xf numFmtId="178" fontId="103" fillId="0" borderId="0" xfId="59" applyNumberFormat="1" applyFont="1" applyFill="1" applyAlignment="1">
      <alignment horizontal="left"/>
    </xf>
    <xf numFmtId="43" fontId="54" fillId="0" borderId="10" xfId="59" applyFont="1" applyFill="1" applyBorder="1"/>
    <xf numFmtId="43" fontId="54" fillId="0" borderId="0" xfId="59" applyFont="1" applyFill="1" applyBorder="1"/>
    <xf numFmtId="43" fontId="54" fillId="17" borderId="0" xfId="59" applyFont="1" applyFill="1" applyBorder="1" applyAlignment="1">
      <alignment horizontal="center"/>
    </xf>
    <xf numFmtId="174" fontId="54" fillId="0" borderId="12" xfId="0" applyFont="1" applyBorder="1"/>
    <xf numFmtId="174" fontId="54" fillId="17" borderId="12" xfId="0" applyFont="1" applyFill="1" applyBorder="1"/>
    <xf numFmtId="10" fontId="54" fillId="0" borderId="1" xfId="266" applyNumberFormat="1" applyFont="1" applyFill="1" applyBorder="1"/>
    <xf numFmtId="174" fontId="54" fillId="0" borderId="32" xfId="0" applyFont="1" applyBorder="1"/>
    <xf numFmtId="174" fontId="54" fillId="0" borderId="16" xfId="0" applyFont="1" applyBorder="1" applyAlignment="1">
      <alignment horizontal="center"/>
    </xf>
    <xf numFmtId="174" fontId="54" fillId="0" borderId="7" xfId="0" applyFont="1" applyBorder="1" applyAlignment="1">
      <alignment horizontal="center"/>
    </xf>
    <xf numFmtId="174" fontId="54" fillId="0" borderId="38" xfId="0" applyFont="1" applyBorder="1" applyAlignment="1">
      <alignment horizontal="center"/>
    </xf>
    <xf numFmtId="174" fontId="54" fillId="0" borderId="10" xfId="0" applyFont="1" applyBorder="1"/>
    <xf numFmtId="43" fontId="54" fillId="0" borderId="10" xfId="59" applyFont="1" applyBorder="1" applyAlignment="1"/>
    <xf numFmtId="43" fontId="54" fillId="0" borderId="17" xfId="59" applyFont="1" applyBorder="1" applyAlignment="1"/>
    <xf numFmtId="43" fontId="44" fillId="0" borderId="8" xfId="59" applyFont="1" applyBorder="1" applyAlignment="1"/>
    <xf numFmtId="43" fontId="54" fillId="14" borderId="0" xfId="59" applyFont="1" applyFill="1" applyBorder="1" applyAlignment="1">
      <alignment horizontal="right"/>
    </xf>
    <xf numFmtId="175" fontId="54" fillId="17" borderId="25" xfId="79" applyNumberFormat="1" applyFont="1" applyFill="1" applyBorder="1"/>
    <xf numFmtId="43" fontId="54" fillId="17" borderId="25" xfId="59" applyFont="1" applyFill="1" applyBorder="1"/>
    <xf numFmtId="175" fontId="54" fillId="17" borderId="0" xfId="77" applyNumberFormat="1" applyFont="1" applyFill="1" applyBorder="1"/>
    <xf numFmtId="43" fontId="54" fillId="17" borderId="0" xfId="79" applyFont="1" applyFill="1" applyBorder="1" applyAlignment="1">
      <alignment horizontal="right"/>
    </xf>
    <xf numFmtId="175" fontId="54" fillId="0" borderId="14" xfId="59" applyNumberFormat="1" applyFont="1" applyBorder="1"/>
    <xf numFmtId="175" fontId="54" fillId="17" borderId="0" xfId="59" applyNumberFormat="1" applyFont="1" applyFill="1" applyAlignment="1"/>
    <xf numFmtId="174" fontId="54" fillId="0" borderId="17" xfId="0" applyFont="1" applyBorder="1" applyAlignment="1">
      <alignment horizontal="center"/>
    </xf>
    <xf numFmtId="174" fontId="54" fillId="0" borderId="32" xfId="0" applyFont="1" applyBorder="1" applyAlignment="1">
      <alignment horizontal="center"/>
    </xf>
    <xf numFmtId="174" fontId="54" fillId="0" borderId="17" xfId="0" applyFont="1" applyBorder="1"/>
    <xf numFmtId="182" fontId="54" fillId="0" borderId="0" xfId="266" applyNumberFormat="1" applyFont="1" applyFill="1" applyAlignment="1" applyProtection="1">
      <alignment horizontal="center"/>
      <protection locked="0"/>
    </xf>
    <xf numFmtId="0" fontId="61" fillId="0" borderId="0" xfId="212" applyFont="1" applyAlignment="1">
      <alignment horizontal="left"/>
    </xf>
    <xf numFmtId="174" fontId="61" fillId="0" borderId="0" xfId="0" applyFont="1" applyAlignment="1">
      <alignment horizontal="center"/>
    </xf>
    <xf numFmtId="41" fontId="54" fillId="0" borderId="0" xfId="212" applyNumberFormat="1" applyFont="1"/>
    <xf numFmtId="174" fontId="54" fillId="0" borderId="1" xfId="0" applyFont="1" applyBorder="1" applyAlignment="1">
      <alignment horizontal="center"/>
    </xf>
    <xf numFmtId="174" fontId="107" fillId="0" borderId="1" xfId="201" applyFont="1" applyBorder="1" applyAlignment="1">
      <alignment horizontal="center"/>
    </xf>
    <xf numFmtId="280" fontId="54" fillId="0" borderId="11" xfId="59" applyNumberFormat="1" applyFont="1" applyBorder="1" applyAlignment="1"/>
    <xf numFmtId="0" fontId="54" fillId="0" borderId="0" xfId="211" applyNumberFormat="1" applyFont="1" applyAlignment="1" applyProtection="1">
      <alignment horizontal="center" wrapText="1"/>
      <protection locked="0"/>
    </xf>
    <xf numFmtId="175" fontId="54" fillId="0" borderId="0" xfId="59" applyNumberFormat="1" applyFont="1" applyAlignment="1">
      <alignment horizontal="center"/>
    </xf>
    <xf numFmtId="10" fontId="54" fillId="0" borderId="0" xfId="266" applyNumberFormat="1" applyFont="1" applyFill="1" applyAlignment="1">
      <alignment horizontal="center"/>
    </xf>
    <xf numFmtId="174" fontId="0" fillId="0" borderId="0" xfId="201" applyFont="1"/>
    <xf numFmtId="174" fontId="0" fillId="0" borderId="0" xfId="0" applyAlignment="1">
      <alignment horizontal="right"/>
    </xf>
    <xf numFmtId="0" fontId="54" fillId="0" borderId="0" xfId="201" applyNumberFormat="1" applyFont="1" applyAlignment="1" applyProtection="1">
      <alignment horizontal="right"/>
      <protection locked="0"/>
    </xf>
    <xf numFmtId="2" fontId="104" fillId="0" borderId="0" xfId="0" applyNumberFormat="1" applyFont="1" applyAlignment="1">
      <alignment horizontal="center"/>
    </xf>
    <xf numFmtId="175" fontId="54" fillId="0" borderId="0" xfId="59" applyNumberFormat="1" applyFont="1" applyAlignment="1">
      <alignment horizontal="left"/>
    </xf>
    <xf numFmtId="186" fontId="54" fillId="0" borderId="0" xfId="59" applyNumberFormat="1" applyFont="1" applyFill="1" applyAlignment="1" applyProtection="1">
      <alignment horizontal="center"/>
      <protection locked="0"/>
    </xf>
    <xf numFmtId="0" fontId="54" fillId="0" borderId="0" xfId="184" applyFont="1"/>
    <xf numFmtId="0" fontId="61" fillId="0" borderId="0" xfId="184" applyFont="1"/>
    <xf numFmtId="0" fontId="54" fillId="0" borderId="0" xfId="184" applyFont="1" applyAlignment="1">
      <alignment horizontal="center"/>
    </xf>
    <xf numFmtId="49" fontId="54" fillId="0" borderId="0" xfId="184" quotePrefix="1" applyNumberFormat="1" applyFont="1" applyAlignment="1">
      <alignment horizontal="center"/>
    </xf>
    <xf numFmtId="0" fontId="54" fillId="0" borderId="1" xfId="184" applyFont="1" applyBorder="1" applyAlignment="1">
      <alignment horizontal="center" vertical="top"/>
    </xf>
    <xf numFmtId="0" fontId="54" fillId="0" borderId="1" xfId="184" applyFont="1" applyBorder="1" applyAlignment="1">
      <alignment horizontal="center" vertical="top" wrapText="1"/>
    </xf>
    <xf numFmtId="0" fontId="54" fillId="0" borderId="0" xfId="184" applyFont="1" applyAlignment="1">
      <alignment horizontal="left"/>
    </xf>
    <xf numFmtId="0" fontId="54" fillId="0" borderId="0" xfId="184" applyFont="1" applyAlignment="1">
      <alignment horizontal="right"/>
    </xf>
    <xf numFmtId="43" fontId="54" fillId="0" borderId="0" xfId="184" applyNumberFormat="1" applyFont="1"/>
    <xf numFmtId="9" fontId="54" fillId="0" borderId="0" xfId="184" applyNumberFormat="1" applyFont="1" applyAlignment="1">
      <alignment horizontal="left"/>
    </xf>
    <xf numFmtId="175" fontId="54" fillId="0" borderId="0" xfId="184" applyNumberFormat="1" applyFont="1"/>
    <xf numFmtId="41" fontId="54" fillId="0" borderId="0" xfId="184" applyNumberFormat="1" applyFont="1" applyAlignment="1">
      <alignment horizontal="center"/>
    </xf>
    <xf numFmtId="41" fontId="61" fillId="0" borderId="0" xfId="184" applyNumberFormat="1" applyFont="1" applyAlignment="1">
      <alignment horizontal="center"/>
    </xf>
    <xf numFmtId="10" fontId="54" fillId="0" borderId="0" xfId="184" applyNumberFormat="1" applyFont="1"/>
    <xf numFmtId="0" fontId="14" fillId="0" borderId="0" xfId="184"/>
    <xf numFmtId="0" fontId="107" fillId="0" borderId="0" xfId="184" applyFont="1"/>
    <xf numFmtId="0" fontId="107" fillId="0" borderId="0" xfId="184" applyFont="1" applyAlignment="1">
      <alignment horizontal="left"/>
    </xf>
    <xf numFmtId="0" fontId="14" fillId="0" borderId="0" xfId="184" applyAlignment="1">
      <alignment horizontal="center"/>
    </xf>
    <xf numFmtId="0" fontId="107" fillId="0" borderId="0" xfId="184" applyFont="1" applyAlignment="1">
      <alignment horizontal="center"/>
    </xf>
    <xf numFmtId="0" fontId="107" fillId="0" borderId="1" xfId="184" applyFont="1" applyBorder="1" applyAlignment="1">
      <alignment horizontal="right" vertical="top"/>
    </xf>
    <xf numFmtId="0" fontId="107" fillId="0" borderId="1" xfId="184" applyFont="1" applyBorder="1" applyAlignment="1">
      <alignment horizontal="center" vertical="top" wrapText="1"/>
    </xf>
    <xf numFmtId="43" fontId="14" fillId="0" borderId="0" xfId="59" applyFont="1" applyFill="1" applyAlignment="1"/>
    <xf numFmtId="0" fontId="107" fillId="0" borderId="0" xfId="184" applyFont="1" applyAlignment="1">
      <alignment horizontal="right"/>
    </xf>
    <xf numFmtId="10" fontId="107" fillId="0" borderId="0" xfId="266" applyNumberFormat="1" applyFont="1" applyFill="1"/>
    <xf numFmtId="43" fontId="107" fillId="0" borderId="0" xfId="59" applyFont="1" applyFill="1"/>
    <xf numFmtId="43" fontId="107" fillId="0" borderId="0" xfId="184" applyNumberFormat="1" applyFont="1"/>
    <xf numFmtId="175" fontId="14" fillId="0" borderId="0" xfId="59" applyNumberFormat="1" applyFont="1" applyFill="1"/>
    <xf numFmtId="175" fontId="14" fillId="0" borderId="0" xfId="184" applyNumberFormat="1"/>
    <xf numFmtId="43" fontId="107" fillId="17" borderId="0" xfId="59" applyFont="1" applyFill="1"/>
    <xf numFmtId="175" fontId="14" fillId="17" borderId="0" xfId="59" applyNumberFormat="1" applyFont="1" applyFill="1"/>
    <xf numFmtId="175" fontId="107" fillId="17" borderId="0" xfId="59" applyNumberFormat="1" applyFont="1" applyFill="1"/>
    <xf numFmtId="175" fontId="107" fillId="0" borderId="0" xfId="184" applyNumberFormat="1" applyFont="1"/>
    <xf numFmtId="0" fontId="111" fillId="0" borderId="0" xfId="184" applyFont="1"/>
    <xf numFmtId="41" fontId="107" fillId="0" borderId="0" xfId="184" applyNumberFormat="1" applyFont="1" applyAlignment="1">
      <alignment horizontal="center"/>
    </xf>
    <xf numFmtId="41" fontId="39" fillId="0" borderId="0" xfId="184" applyNumberFormat="1" applyFont="1" applyAlignment="1">
      <alignment horizontal="center"/>
    </xf>
    <xf numFmtId="0" fontId="111" fillId="0" borderId="0" xfId="184" applyFont="1" applyAlignment="1">
      <alignment horizontal="right"/>
    </xf>
    <xf numFmtId="175" fontId="107" fillId="0" borderId="0" xfId="59" applyNumberFormat="1" applyFont="1" applyFill="1" applyBorder="1"/>
    <xf numFmtId="10" fontId="14" fillId="0" borderId="0" xfId="184" applyNumberFormat="1"/>
    <xf numFmtId="0" fontId="54" fillId="0" borderId="1" xfId="184" applyFont="1" applyBorder="1" applyAlignment="1">
      <alignment horizontal="center"/>
    </xf>
    <xf numFmtId="0" fontId="54" fillId="0" borderId="1" xfId="184" applyFont="1" applyBorder="1"/>
    <xf numFmtId="0" fontId="54" fillId="0" borderId="1" xfId="184" applyFont="1" applyBorder="1" applyAlignment="1">
      <alignment horizontal="center" wrapText="1"/>
    </xf>
    <xf numFmtId="37" fontId="54" fillId="0" borderId="0" xfId="184" applyNumberFormat="1" applyFont="1"/>
    <xf numFmtId="0" fontId="54" fillId="0" borderId="0" xfId="184" applyFont="1" applyAlignment="1">
      <alignment horizontal="center" wrapText="1"/>
    </xf>
    <xf numFmtId="0" fontId="54" fillId="14" borderId="27" xfId="184" applyFont="1" applyFill="1" applyBorder="1"/>
    <xf numFmtId="41" fontId="54" fillId="14" borderId="9" xfId="184" applyNumberFormat="1" applyFont="1" applyFill="1" applyBorder="1"/>
    <xf numFmtId="41" fontId="54" fillId="14" borderId="9" xfId="68" applyFont="1" applyFill="1" applyBorder="1"/>
    <xf numFmtId="0" fontId="54" fillId="14" borderId="28" xfId="184" applyFont="1" applyFill="1" applyBorder="1" applyAlignment="1">
      <alignment wrapText="1"/>
    </xf>
    <xf numFmtId="0" fontId="54" fillId="14" borderId="27" xfId="184" applyFont="1" applyFill="1" applyBorder="1" applyAlignment="1">
      <alignment wrapText="1"/>
    </xf>
    <xf numFmtId="0" fontId="54" fillId="14" borderId="9" xfId="184" applyFont="1" applyFill="1" applyBorder="1"/>
    <xf numFmtId="0" fontId="54" fillId="20" borderId="27" xfId="184" applyFont="1" applyFill="1" applyBorder="1" applyAlignment="1">
      <alignment wrapText="1"/>
    </xf>
    <xf numFmtId="41" fontId="54" fillId="20" borderId="9" xfId="184" applyNumberFormat="1" applyFont="1" applyFill="1" applyBorder="1"/>
    <xf numFmtId="0" fontId="54" fillId="20" borderId="28" xfId="184" applyFont="1" applyFill="1" applyBorder="1" applyAlignment="1">
      <alignment wrapText="1"/>
    </xf>
    <xf numFmtId="0" fontId="54" fillId="0" borderId="39" xfId="184" applyFont="1" applyBorder="1"/>
    <xf numFmtId="175" fontId="54" fillId="0" borderId="9" xfId="59" applyNumberFormat="1" applyFont="1" applyBorder="1"/>
    <xf numFmtId="175" fontId="54" fillId="0" borderId="9" xfId="59" applyNumberFormat="1" applyFont="1" applyFill="1" applyBorder="1"/>
    <xf numFmtId="37" fontId="54" fillId="0" borderId="28" xfId="184" applyNumberFormat="1" applyFont="1" applyBorder="1" applyAlignment="1">
      <alignment wrapText="1"/>
    </xf>
    <xf numFmtId="0" fontId="54" fillId="0" borderId="40" xfId="184" applyFont="1" applyBorder="1"/>
    <xf numFmtId="175" fontId="54" fillId="14" borderId="9" xfId="59" applyNumberFormat="1" applyFont="1" applyFill="1" applyBorder="1"/>
    <xf numFmtId="175" fontId="54" fillId="14" borderId="9" xfId="59" applyNumberFormat="1" applyFont="1" applyFill="1" applyBorder="1" applyAlignment="1">
      <alignment horizontal="right"/>
    </xf>
    <xf numFmtId="175" fontId="54" fillId="14" borderId="9" xfId="59" applyNumberFormat="1" applyFont="1" applyFill="1" applyBorder="1" applyAlignment="1">
      <alignment horizontal="center"/>
    </xf>
    <xf numFmtId="0" fontId="54" fillId="0" borderId="41" xfId="184" applyFont="1" applyBorder="1"/>
    <xf numFmtId="175" fontId="54" fillId="14" borderId="33" xfId="59" applyNumberFormat="1" applyFont="1" applyFill="1" applyBorder="1"/>
    <xf numFmtId="0" fontId="54" fillId="14" borderId="42" xfId="184" applyFont="1" applyFill="1" applyBorder="1" applyAlignment="1">
      <alignment wrapText="1"/>
    </xf>
    <xf numFmtId="0" fontId="54" fillId="0" borderId="43" xfId="184" applyFont="1" applyBorder="1"/>
    <xf numFmtId="175" fontId="54" fillId="0" borderId="44" xfId="59" applyNumberFormat="1" applyFont="1" applyFill="1" applyBorder="1"/>
    <xf numFmtId="0" fontId="54" fillId="0" borderId="45" xfId="184" applyFont="1" applyBorder="1" applyAlignment="1">
      <alignment wrapText="1"/>
    </xf>
    <xf numFmtId="37" fontId="54" fillId="0" borderId="0" xfId="184" applyNumberFormat="1" applyFont="1" applyAlignment="1">
      <alignment horizontal="center"/>
    </xf>
    <xf numFmtId="37" fontId="54" fillId="0" borderId="0" xfId="184" applyNumberFormat="1" applyFont="1" applyAlignment="1">
      <alignment wrapText="1"/>
    </xf>
    <xf numFmtId="0" fontId="54" fillId="0" borderId="0" xfId="184" applyFont="1" applyAlignment="1">
      <alignment wrapText="1"/>
    </xf>
    <xf numFmtId="37" fontId="54" fillId="14" borderId="9" xfId="184" applyNumberFormat="1" applyFont="1" applyFill="1" applyBorder="1"/>
    <xf numFmtId="0" fontId="54" fillId="0" borderId="27" xfId="184" applyFont="1" applyBorder="1"/>
    <xf numFmtId="0" fontId="54" fillId="0" borderId="46" xfId="184" applyFont="1" applyBorder="1"/>
    <xf numFmtId="0" fontId="54" fillId="14" borderId="27" xfId="380" applyFont="1" applyFill="1" applyBorder="1"/>
    <xf numFmtId="41" fontId="54" fillId="0" borderId="0" xfId="68" applyFont="1" applyFill="1" applyBorder="1"/>
    <xf numFmtId="41" fontId="54" fillId="20" borderId="9" xfId="68" applyFont="1" applyFill="1" applyBorder="1"/>
    <xf numFmtId="0" fontId="54" fillId="0" borderId="47" xfId="184" applyFont="1" applyBorder="1"/>
    <xf numFmtId="175" fontId="54" fillId="14" borderId="33" xfId="59" applyNumberFormat="1" applyFont="1" applyFill="1" applyBorder="1" applyAlignment="1">
      <alignment horizontal="right"/>
    </xf>
    <xf numFmtId="175" fontId="54" fillId="0" borderId="44" xfId="59" applyNumberFormat="1" applyFont="1" applyFill="1" applyBorder="1" applyAlignment="1">
      <alignment horizontal="right"/>
    </xf>
    <xf numFmtId="175" fontId="54" fillId="0" borderId="0" xfId="184" applyNumberFormat="1" applyFont="1" applyAlignment="1">
      <alignment wrapText="1"/>
    </xf>
    <xf numFmtId="0" fontId="54" fillId="0" borderId="0" xfId="184" applyFont="1" applyAlignment="1">
      <alignment horizontal="centerContinuous"/>
    </xf>
    <xf numFmtId="180" fontId="54" fillId="0" borderId="0" xfId="59" applyNumberFormat="1" applyFont="1" applyAlignment="1"/>
    <xf numFmtId="175" fontId="54" fillId="17" borderId="0" xfId="59" applyNumberFormat="1" applyFont="1" applyFill="1" applyAlignment="1">
      <alignment horizontal="center"/>
    </xf>
    <xf numFmtId="10" fontId="54" fillId="17" borderId="0" xfId="266" applyNumberFormat="1" applyFont="1" applyFill="1" applyAlignment="1"/>
    <xf numFmtId="0" fontId="54" fillId="20" borderId="39" xfId="184" applyFont="1" applyFill="1" applyBorder="1" applyAlignment="1">
      <alignment horizontal="left"/>
    </xf>
    <xf numFmtId="37" fontId="54" fillId="20" borderId="9" xfId="184" applyNumberFormat="1" applyFont="1" applyFill="1" applyBorder="1"/>
    <xf numFmtId="0" fontId="54" fillId="0" borderId="19" xfId="184" applyFont="1" applyBorder="1" applyAlignment="1">
      <alignment horizontal="center"/>
    </xf>
    <xf numFmtId="0" fontId="54" fillId="0" borderId="25" xfId="184" applyFont="1" applyBorder="1" applyAlignment="1">
      <alignment horizontal="center"/>
    </xf>
    <xf numFmtId="0" fontId="54" fillId="0" borderId="1" xfId="184" applyFont="1" applyBorder="1" applyAlignment="1">
      <alignment horizontal="right" vertical="top"/>
    </xf>
    <xf numFmtId="0" fontId="54" fillId="0" borderId="37" xfId="184" applyFont="1" applyBorder="1" applyAlignment="1">
      <alignment horizontal="center" vertical="top" wrapText="1"/>
    </xf>
    <xf numFmtId="0" fontId="54" fillId="0" borderId="29" xfId="184" applyFont="1" applyBorder="1" applyAlignment="1">
      <alignment horizontal="center" vertical="top" wrapText="1"/>
    </xf>
    <xf numFmtId="0" fontId="54" fillId="0" borderId="19" xfId="184" applyFont="1" applyBorder="1"/>
    <xf numFmtId="0" fontId="54" fillId="0" borderId="25" xfId="184" applyFont="1" applyBorder="1"/>
    <xf numFmtId="10" fontId="54" fillId="0" borderId="0" xfId="266" applyNumberFormat="1" applyFont="1" applyFill="1"/>
    <xf numFmtId="175" fontId="54" fillId="0" borderId="19" xfId="59" applyNumberFormat="1" applyFont="1" applyFill="1" applyBorder="1"/>
    <xf numFmtId="175" fontId="54" fillId="0" borderId="25" xfId="59" applyNumberFormat="1" applyFont="1" applyFill="1" applyBorder="1"/>
    <xf numFmtId="175" fontId="54" fillId="0" borderId="37" xfId="59" applyNumberFormat="1" applyFont="1" applyFill="1" applyBorder="1"/>
    <xf numFmtId="175" fontId="54" fillId="0" borderId="1" xfId="59" applyNumberFormat="1" applyFont="1" applyFill="1" applyBorder="1"/>
    <xf numFmtId="175" fontId="54" fillId="0" borderId="29" xfId="59" applyNumberFormat="1" applyFont="1" applyFill="1" applyBorder="1"/>
    <xf numFmtId="175" fontId="54" fillId="0" borderId="3" xfId="59" applyNumberFormat="1" applyFont="1" applyFill="1" applyBorder="1"/>
    <xf numFmtId="175" fontId="54" fillId="0" borderId="23" xfId="59" applyNumberFormat="1" applyFont="1" applyFill="1" applyBorder="1"/>
    <xf numFmtId="175" fontId="54" fillId="0" borderId="8" xfId="59" applyNumberFormat="1" applyFont="1" applyFill="1" applyBorder="1"/>
    <xf numFmtId="175" fontId="54" fillId="0" borderId="26" xfId="59" applyNumberFormat="1" applyFont="1" applyFill="1" applyBorder="1"/>
    <xf numFmtId="0" fontId="112" fillId="0" borderId="0" xfId="184" applyFont="1"/>
    <xf numFmtId="0" fontId="112" fillId="0" borderId="0" xfId="184" applyFont="1" applyAlignment="1">
      <alignment horizontal="right"/>
    </xf>
    <xf numFmtId="171" fontId="54" fillId="14" borderId="0" xfId="59" applyNumberFormat="1" applyFont="1" applyFill="1"/>
    <xf numFmtId="171" fontId="54" fillId="17" borderId="0" xfId="59" applyNumberFormat="1" applyFont="1" applyFill="1"/>
    <xf numFmtId="176" fontId="54" fillId="17" borderId="0" xfId="93" applyNumberFormat="1" applyFont="1" applyFill="1" applyBorder="1" applyAlignment="1"/>
    <xf numFmtId="174" fontId="61" fillId="14" borderId="0" xfId="209" applyFont="1" applyFill="1"/>
    <xf numFmtId="174" fontId="61" fillId="17" borderId="0" xfId="209" applyFont="1" applyFill="1"/>
    <xf numFmtId="174" fontId="54" fillId="17" borderId="0" xfId="209" applyFont="1" applyFill="1"/>
    <xf numFmtId="176" fontId="54" fillId="14" borderId="0" xfId="93" applyNumberFormat="1" applyFont="1" applyFill="1"/>
    <xf numFmtId="176" fontId="54" fillId="17" borderId="0" xfId="93" applyNumberFormat="1" applyFont="1" applyFill="1"/>
    <xf numFmtId="174" fontId="54" fillId="0" borderId="10" xfId="209" applyFont="1" applyBorder="1"/>
    <xf numFmtId="175" fontId="44" fillId="14" borderId="0" xfId="59" applyNumberFormat="1" applyFont="1" applyFill="1" applyAlignment="1">
      <alignment horizontal="center"/>
    </xf>
    <xf numFmtId="175" fontId="44" fillId="17" borderId="8" xfId="59" applyNumberFormat="1" applyFont="1" applyFill="1" applyBorder="1" applyAlignment="1">
      <alignment horizontal="center"/>
    </xf>
    <xf numFmtId="175" fontId="54" fillId="17" borderId="30" xfId="59" applyNumberFormat="1" applyFont="1" applyFill="1" applyBorder="1"/>
    <xf numFmtId="175" fontId="54" fillId="17" borderId="10" xfId="59" applyNumberFormat="1" applyFont="1" applyFill="1" applyBorder="1"/>
    <xf numFmtId="174" fontId="54" fillId="14" borderId="11" xfId="209" applyFont="1" applyFill="1" applyBorder="1"/>
    <xf numFmtId="174" fontId="61" fillId="14" borderId="11" xfId="209" applyFont="1" applyFill="1" applyBorder="1"/>
    <xf numFmtId="175" fontId="54" fillId="17" borderId="0" xfId="59" applyNumberFormat="1" applyFont="1" applyFill="1"/>
    <xf numFmtId="175" fontId="44" fillId="17" borderId="0" xfId="59" applyNumberFormat="1" applyFont="1" applyFill="1"/>
    <xf numFmtId="0" fontId="54" fillId="17" borderId="0" xfId="59" applyNumberFormat="1" applyFont="1" applyFill="1" applyAlignment="1">
      <alignment horizontal="center"/>
    </xf>
    <xf numFmtId="0" fontId="107" fillId="17" borderId="0" xfId="59" applyNumberFormat="1" applyFont="1" applyFill="1" applyAlignment="1">
      <alignment horizontal="center"/>
    </xf>
    <xf numFmtId="0" fontId="107" fillId="0" borderId="27" xfId="184" applyFont="1" applyBorder="1" applyAlignment="1">
      <alignment wrapText="1"/>
    </xf>
    <xf numFmtId="0" fontId="113" fillId="0" borderId="0" xfId="184" applyFont="1"/>
    <xf numFmtId="175" fontId="113" fillId="0" borderId="0" xfId="59" applyNumberFormat="1" applyFont="1" applyFill="1" applyBorder="1"/>
    <xf numFmtId="175" fontId="61" fillId="0" borderId="0" xfId="0" applyNumberFormat="1" applyFont="1" applyAlignment="1" applyProtection="1">
      <alignment horizontal="center" wrapText="1"/>
      <protection locked="0"/>
    </xf>
    <xf numFmtId="10" fontId="114" fillId="21" borderId="0" xfId="283" applyNumberFormat="1" applyFont="1" applyFill="1" applyAlignment="1">
      <alignment horizontal="center"/>
    </xf>
    <xf numFmtId="186" fontId="44" fillId="0" borderId="0" xfId="59" applyNumberFormat="1" applyFont="1" applyFill="1" applyAlignment="1"/>
    <xf numFmtId="175" fontId="54" fillId="0" borderId="0" xfId="59" applyNumberFormat="1" applyFont="1" applyFill="1" applyAlignment="1" applyProtection="1">
      <alignment horizontal="center"/>
      <protection locked="0"/>
    </xf>
    <xf numFmtId="175" fontId="54" fillId="0" borderId="0" xfId="59" applyNumberFormat="1" applyFont="1"/>
    <xf numFmtId="174" fontId="54" fillId="0" borderId="0" xfId="0" applyFont="1" applyProtection="1">
      <protection locked="0"/>
    </xf>
    <xf numFmtId="174" fontId="54" fillId="0" borderId="0" xfId="0" applyFont="1" applyAlignment="1" applyProtection="1">
      <alignment horizontal="center"/>
      <protection locked="0"/>
    </xf>
    <xf numFmtId="174" fontId="61" fillId="0" borderId="0" xfId="0" applyFont="1" applyAlignment="1" applyProtection="1">
      <alignment horizontal="center"/>
      <protection locked="0"/>
    </xf>
    <xf numFmtId="174" fontId="96" fillId="0" borderId="0" xfId="0" applyFont="1" applyAlignment="1" applyProtection="1">
      <alignment horizontal="left"/>
      <protection locked="0"/>
    </xf>
    <xf numFmtId="174" fontId="61" fillId="0" borderId="25" xfId="0" applyFont="1" applyBorder="1" applyAlignment="1" applyProtection="1">
      <alignment horizontal="center"/>
      <protection locked="0"/>
    </xf>
    <xf numFmtId="174" fontId="61" fillId="0" borderId="27" xfId="0" applyFont="1" applyBorder="1" applyAlignment="1" applyProtection="1">
      <alignment horizontal="center"/>
      <protection locked="0"/>
    </xf>
    <xf numFmtId="174" fontId="61" fillId="0" borderId="9" xfId="0" applyFont="1" applyBorder="1" applyAlignment="1" applyProtection="1">
      <alignment horizontal="center" wrapText="1"/>
      <protection locked="0"/>
    </xf>
    <xf numFmtId="174" fontId="61" fillId="0" borderId="0" xfId="0" applyFont="1" applyProtection="1">
      <protection locked="0"/>
    </xf>
    <xf numFmtId="174" fontId="61" fillId="0" borderId="0" xfId="0" applyFont="1" applyAlignment="1" applyProtection="1">
      <alignment horizontal="center" wrapText="1"/>
      <protection locked="0"/>
    </xf>
    <xf numFmtId="174" fontId="61" fillId="0" borderId="28" xfId="0" applyFont="1" applyBorder="1" applyAlignment="1" applyProtection="1">
      <alignment horizontal="center" wrapText="1"/>
      <protection locked="0"/>
    </xf>
    <xf numFmtId="10" fontId="54" fillId="17" borderId="0" xfId="0" applyNumberFormat="1" applyFont="1" applyFill="1" applyAlignment="1">
      <alignment horizontal="center"/>
    </xf>
    <xf numFmtId="176" fontId="54" fillId="17" borderId="0" xfId="0" applyNumberFormat="1" applyFont="1" applyFill="1" applyProtection="1">
      <protection locked="0"/>
    </xf>
    <xf numFmtId="177" fontId="54" fillId="0" borderId="0" xfId="0" applyNumberFormat="1" applyFont="1" applyProtection="1">
      <protection locked="0"/>
    </xf>
    <xf numFmtId="164" fontId="54" fillId="17" borderId="0" xfId="0" applyNumberFormat="1" applyFont="1" applyFill="1" applyProtection="1">
      <protection locked="0"/>
    </xf>
    <xf numFmtId="0" fontId="54" fillId="0" borderId="0" xfId="0" applyNumberFormat="1" applyFont="1" applyAlignment="1" applyProtection="1">
      <alignment horizontal="center"/>
      <protection locked="0"/>
    </xf>
    <xf numFmtId="171" fontId="54" fillId="17" borderId="0" xfId="0" applyNumberFormat="1" applyFont="1" applyFill="1" applyAlignment="1" applyProtection="1">
      <alignment horizontal="center"/>
      <protection locked="0"/>
    </xf>
    <xf numFmtId="10" fontId="54" fillId="17" borderId="0" xfId="0" applyNumberFormat="1" applyFont="1" applyFill="1" applyAlignment="1" applyProtection="1">
      <alignment horizontal="center"/>
      <protection locked="0"/>
    </xf>
    <xf numFmtId="164" fontId="54" fillId="0" borderId="0" xfId="0" applyNumberFormat="1" applyFont="1" applyProtection="1">
      <protection locked="0"/>
    </xf>
    <xf numFmtId="0" fontId="54" fillId="0" borderId="19" xfId="0" applyNumberFormat="1" applyFont="1" applyBorder="1" applyAlignment="1" applyProtection="1">
      <alignment horizontal="center"/>
      <protection locked="0"/>
    </xf>
    <xf numFmtId="10" fontId="54" fillId="0" borderId="0" xfId="0" applyNumberFormat="1" applyFont="1" applyAlignment="1" applyProtection="1">
      <alignment horizontal="center"/>
      <protection locked="0"/>
    </xf>
    <xf numFmtId="10" fontId="54" fillId="0" borderId="0" xfId="0" applyNumberFormat="1" applyFont="1" applyAlignment="1">
      <alignment horizontal="center"/>
    </xf>
    <xf numFmtId="278" fontId="54" fillId="0" borderId="0" xfId="0" applyNumberFormat="1" applyFont="1" applyProtection="1">
      <protection locked="0"/>
    </xf>
    <xf numFmtId="176" fontId="54" fillId="0" borderId="0" xfId="0" applyNumberFormat="1" applyFont="1" applyProtection="1">
      <protection locked="0"/>
    </xf>
    <xf numFmtId="174" fontId="94" fillId="0" borderId="19" xfId="0" applyFont="1" applyBorder="1" applyProtection="1">
      <protection locked="0"/>
    </xf>
    <xf numFmtId="174" fontId="54" fillId="0" borderId="25" xfId="0" applyFont="1" applyBorder="1" applyProtection="1">
      <protection locked="0"/>
    </xf>
    <xf numFmtId="174" fontId="54" fillId="0" borderId="19" xfId="0" applyFont="1" applyBorder="1" applyAlignment="1" applyProtection="1">
      <alignment horizontal="left"/>
      <protection locked="0"/>
    </xf>
    <xf numFmtId="174" fontId="54" fillId="0" borderId="0" xfId="0" applyFont="1" applyAlignment="1" applyProtection="1">
      <alignment horizontal="left"/>
      <protection locked="0"/>
    </xf>
    <xf numFmtId="175" fontId="54" fillId="0" borderId="19" xfId="0" applyNumberFormat="1" applyFont="1" applyBorder="1" applyProtection="1">
      <protection locked="0"/>
    </xf>
    <xf numFmtId="175" fontId="54" fillId="0" borderId="0" xfId="0" applyNumberFormat="1" applyFont="1" applyProtection="1">
      <protection locked="0"/>
    </xf>
    <xf numFmtId="175" fontId="54" fillId="0" borderId="23" xfId="0" applyNumberFormat="1" applyFont="1" applyBorder="1" applyProtection="1">
      <protection locked="0"/>
    </xf>
    <xf numFmtId="175" fontId="54" fillId="0" borderId="8" xfId="0" applyNumberFormat="1" applyFont="1" applyBorder="1" applyProtection="1">
      <protection locked="0"/>
    </xf>
    <xf numFmtId="174" fontId="54" fillId="0" borderId="8" xfId="0" applyFont="1" applyBorder="1" applyAlignment="1" applyProtection="1">
      <alignment horizontal="center"/>
      <protection locked="0"/>
    </xf>
    <xf numFmtId="174" fontId="54" fillId="0" borderId="8" xfId="0" applyFont="1" applyBorder="1" applyProtection="1">
      <protection locked="0"/>
    </xf>
    <xf numFmtId="174" fontId="54" fillId="0" borderId="26" xfId="0" applyFont="1" applyBorder="1" applyProtection="1">
      <protection locked="0"/>
    </xf>
    <xf numFmtId="0" fontId="61" fillId="0" borderId="0" xfId="0" applyNumberFormat="1" applyFont="1" applyAlignment="1" applyProtection="1">
      <alignment horizontal="left"/>
      <protection locked="0"/>
    </xf>
    <xf numFmtId="175" fontId="61" fillId="0" borderId="0" xfId="0" applyNumberFormat="1" applyFont="1" applyAlignment="1" applyProtection="1">
      <alignment horizontal="center"/>
      <protection locked="0"/>
    </xf>
    <xf numFmtId="175" fontId="54" fillId="0" borderId="0" xfId="0" applyNumberFormat="1" applyFont="1" applyAlignment="1" applyProtection="1">
      <alignment horizontal="center"/>
      <protection locked="0"/>
    </xf>
    <xf numFmtId="174" fontId="87" fillId="0" borderId="30" xfId="0" applyFont="1" applyBorder="1" applyAlignment="1" applyProtection="1">
      <alignment horizontal="left"/>
      <protection locked="0"/>
    </xf>
    <xf numFmtId="174" fontId="87" fillId="0" borderId="3" xfId="0" applyFont="1" applyBorder="1" applyAlignment="1" applyProtection="1">
      <alignment horizontal="center"/>
      <protection locked="0"/>
    </xf>
    <xf numFmtId="174" fontId="54" fillId="0" borderId="3" xfId="0" applyFont="1" applyBorder="1" applyAlignment="1" applyProtection="1">
      <alignment horizontal="center"/>
      <protection locked="0"/>
    </xf>
    <xf numFmtId="174" fontId="54" fillId="0" borderId="3" xfId="0" applyFont="1" applyBorder="1" applyProtection="1">
      <protection locked="0"/>
    </xf>
    <xf numFmtId="174" fontId="61" fillId="0" borderId="3" xfId="0" applyFont="1" applyBorder="1" applyAlignment="1" applyProtection="1">
      <alignment horizontal="center"/>
      <protection locked="0"/>
    </xf>
    <xf numFmtId="174" fontId="54" fillId="0" borderId="31" xfId="0" applyFont="1" applyBorder="1" applyAlignment="1" applyProtection="1">
      <alignment horizontal="center"/>
      <protection locked="0"/>
    </xf>
    <xf numFmtId="0" fontId="61" fillId="0" borderId="10" xfId="0" applyNumberFormat="1" applyFont="1" applyBorder="1" applyAlignment="1" applyProtection="1">
      <alignment horizontal="left"/>
      <protection locked="0"/>
    </xf>
    <xf numFmtId="174" fontId="87" fillId="0" borderId="0" xfId="0" applyFont="1" applyAlignment="1" applyProtection="1">
      <alignment horizontal="center"/>
      <protection locked="0"/>
    </xf>
    <xf numFmtId="174" fontId="54" fillId="0" borderId="12" xfId="0" applyFont="1" applyBorder="1" applyAlignment="1" applyProtection="1">
      <alignment horizontal="center"/>
      <protection locked="0"/>
    </xf>
    <xf numFmtId="174" fontId="87" fillId="0" borderId="10" xfId="0" applyFont="1" applyBorder="1" applyAlignment="1" applyProtection="1">
      <alignment horizontal="left"/>
      <protection locked="0"/>
    </xf>
    <xf numFmtId="174" fontId="54" fillId="0" borderId="10" xfId="0" applyFont="1" applyBorder="1" applyProtection="1">
      <protection locked="0"/>
    </xf>
    <xf numFmtId="175" fontId="54" fillId="17" borderId="0" xfId="59" applyNumberFormat="1" applyFont="1" applyFill="1" applyBorder="1" applyProtection="1">
      <protection locked="0"/>
    </xf>
    <xf numFmtId="182" fontId="54" fillId="17" borderId="0" xfId="0" applyNumberFormat="1" applyFont="1" applyFill="1" applyProtection="1">
      <protection locked="0"/>
    </xf>
    <xf numFmtId="182" fontId="54" fillId="0" borderId="0" xfId="0" applyNumberFormat="1" applyFont="1" applyProtection="1">
      <protection locked="0"/>
    </xf>
    <xf numFmtId="4" fontId="54" fillId="0" borderId="0" xfId="0" applyNumberFormat="1" applyFont="1" applyAlignment="1" applyProtection="1">
      <alignment horizontal="center"/>
      <protection locked="0"/>
    </xf>
    <xf numFmtId="4" fontId="54" fillId="0" borderId="0" xfId="0" applyNumberFormat="1" applyFont="1" applyAlignment="1">
      <alignment horizontal="center"/>
    </xf>
    <xf numFmtId="174" fontId="87" fillId="0" borderId="10" xfId="0" applyFont="1" applyBorder="1" applyProtection="1">
      <protection locked="0"/>
    </xf>
    <xf numFmtId="174" fontId="87" fillId="0" borderId="0" xfId="0" applyFont="1" applyProtection="1">
      <protection locked="0"/>
    </xf>
    <xf numFmtId="175" fontId="61" fillId="0" borderId="0" xfId="0" applyNumberFormat="1" applyFont="1" applyProtection="1">
      <protection locked="0"/>
    </xf>
    <xf numFmtId="174" fontId="54" fillId="0" borderId="17" xfId="0" applyFont="1" applyBorder="1" applyProtection="1">
      <protection locked="0"/>
    </xf>
    <xf numFmtId="174" fontId="54" fillId="0" borderId="1" xfId="0" applyFont="1" applyBorder="1" applyProtection="1">
      <protection locked="0"/>
    </xf>
    <xf numFmtId="182" fontId="54" fillId="0" borderId="0" xfId="0" applyNumberFormat="1" applyFont="1"/>
    <xf numFmtId="175" fontId="54" fillId="0" borderId="12" xfId="59" applyNumberFormat="1" applyFont="1" applyBorder="1"/>
    <xf numFmtId="175" fontId="54" fillId="0" borderId="1" xfId="0" applyNumberFormat="1" applyFont="1" applyBorder="1"/>
    <xf numFmtId="175" fontId="54" fillId="0" borderId="11" xfId="59" applyNumberFormat="1" applyFont="1" applyFill="1" applyBorder="1" applyAlignment="1">
      <alignment horizontal="center"/>
    </xf>
    <xf numFmtId="175" fontId="54" fillId="0" borderId="11" xfId="59" applyNumberFormat="1" applyFont="1" applyBorder="1" applyAlignment="1">
      <alignment horizontal="center"/>
    </xf>
    <xf numFmtId="175" fontId="54" fillId="0" borderId="15" xfId="0" applyNumberFormat="1" applyFont="1" applyBorder="1"/>
    <xf numFmtId="1" fontId="54" fillId="17" borderId="0" xfId="0" applyNumberFormat="1" applyFont="1" applyFill="1" applyAlignment="1">
      <alignment horizontal="center"/>
    </xf>
    <xf numFmtId="175" fontId="54" fillId="17" borderId="11" xfId="59" applyNumberFormat="1" applyFont="1" applyFill="1" applyBorder="1" applyAlignment="1"/>
    <xf numFmtId="175" fontId="54" fillId="0" borderId="0" xfId="59" applyNumberFormat="1" applyFont="1" applyAlignment="1">
      <alignment horizontal="fill"/>
    </xf>
    <xf numFmtId="175" fontId="54" fillId="0" borderId="0" xfId="211" applyNumberFormat="1" applyFont="1"/>
    <xf numFmtId="175" fontId="54" fillId="0" borderId="0" xfId="211" applyNumberFormat="1" applyFont="1" applyAlignment="1">
      <alignment horizontal="fill"/>
    </xf>
    <xf numFmtId="10" fontId="54" fillId="0" borderId="0" xfId="266" applyNumberFormat="1" applyFont="1" applyFill="1" applyBorder="1" applyAlignment="1"/>
    <xf numFmtId="175" fontId="44" fillId="0" borderId="0" xfId="59" applyNumberFormat="1" applyFont="1" applyFill="1" applyAlignment="1">
      <alignment horizontal="center"/>
    </xf>
    <xf numFmtId="0" fontId="61" fillId="0" borderId="0" xfId="211" applyNumberFormat="1" applyFont="1" applyAlignment="1" applyProtection="1">
      <alignment horizontal="center" wrapText="1"/>
      <protection locked="0"/>
    </xf>
    <xf numFmtId="9" fontId="44" fillId="0" borderId="0" xfId="266" applyFont="1" applyAlignment="1"/>
    <xf numFmtId="9" fontId="54" fillId="0" borderId="0" xfId="266" applyFont="1" applyAlignment="1"/>
    <xf numFmtId="186" fontId="21" fillId="14" borderId="0" xfId="59" applyNumberFormat="1" applyFont="1" applyFill="1" applyAlignment="1"/>
    <xf numFmtId="174" fontId="54" fillId="0" borderId="0" xfId="192" applyNumberFormat="1" applyFont="1"/>
    <xf numFmtId="44" fontId="54" fillId="0" borderId="0" xfId="192" applyNumberFormat="1" applyFont="1"/>
    <xf numFmtId="42" fontId="54" fillId="0" borderId="0" xfId="211" applyNumberFormat="1" applyFont="1"/>
    <xf numFmtId="175" fontId="54" fillId="0" borderId="0" xfId="211" applyNumberFormat="1" applyFont="1" applyProtection="1">
      <protection locked="0"/>
    </xf>
    <xf numFmtId="281" fontId="44" fillId="14" borderId="0" xfId="59" applyNumberFormat="1" applyFont="1" applyFill="1" applyAlignment="1"/>
    <xf numFmtId="0" fontId="21" fillId="0" borderId="0" xfId="59" applyNumberFormat="1" applyFont="1" applyFill="1" applyAlignment="1"/>
    <xf numFmtId="186" fontId="21" fillId="0" borderId="0" xfId="59" applyNumberFormat="1" applyFont="1" applyAlignment="1"/>
    <xf numFmtId="186" fontId="21" fillId="0" borderId="1" xfId="59" applyNumberFormat="1" applyFont="1" applyBorder="1" applyAlignment="1"/>
    <xf numFmtId="10" fontId="54" fillId="17" borderId="0" xfId="266" applyNumberFormat="1" applyFont="1" applyFill="1"/>
    <xf numFmtId="175" fontId="54" fillId="0" borderId="11" xfId="59" applyNumberFormat="1" applyFont="1" applyBorder="1"/>
    <xf numFmtId="0" fontId="39" fillId="0" borderId="0" xfId="486" applyFont="1"/>
    <xf numFmtId="0" fontId="14" fillId="0" borderId="0" xfId="486"/>
    <xf numFmtId="0" fontId="14" fillId="23" borderId="0" xfId="486" applyFill="1"/>
    <xf numFmtId="0" fontId="14" fillId="0" borderId="0" xfId="460"/>
    <xf numFmtId="0" fontId="39" fillId="24" borderId="0" xfId="486" applyFont="1" applyFill="1"/>
    <xf numFmtId="0" fontId="39" fillId="0" borderId="0" xfId="486" applyFont="1" applyAlignment="1">
      <alignment horizontal="center"/>
    </xf>
    <xf numFmtId="0" fontId="14" fillId="0" borderId="30" xfId="410" applyBorder="1"/>
    <xf numFmtId="10" fontId="14" fillId="0" borderId="31" xfId="410" applyNumberFormat="1" applyBorder="1"/>
    <xf numFmtId="164" fontId="14" fillId="17" borderId="0" xfId="266" applyNumberFormat="1" applyFill="1"/>
    <xf numFmtId="0" fontId="14" fillId="0" borderId="10" xfId="410" applyBorder="1"/>
    <xf numFmtId="10" fontId="14" fillId="23" borderId="12" xfId="410" applyNumberFormat="1" applyFill="1" applyBorder="1"/>
    <xf numFmtId="0" fontId="14" fillId="0" borderId="0" xfId="410" applyAlignment="1">
      <alignment horizontal="center"/>
    </xf>
    <xf numFmtId="10" fontId="14" fillId="0" borderId="12" xfId="410" applyNumberFormat="1" applyBorder="1"/>
    <xf numFmtId="0" fontId="39" fillId="0" borderId="1" xfId="467" quotePrefix="1">
      <alignment horizontal="center" wrapText="1"/>
    </xf>
    <xf numFmtId="0" fontId="39" fillId="0" borderId="0" xfId="467" quotePrefix="1" applyBorder="1">
      <alignment horizontal="center" wrapText="1"/>
    </xf>
    <xf numFmtId="0" fontId="14" fillId="0" borderId="17" xfId="410" applyBorder="1"/>
    <xf numFmtId="10" fontId="14" fillId="0" borderId="38" xfId="410" applyNumberFormat="1" applyBorder="1"/>
    <xf numFmtId="174" fontId="0" fillId="0" borderId="0" xfId="0" quotePrefix="1"/>
    <xf numFmtId="0" fontId="14" fillId="0" borderId="3" xfId="486" applyBorder="1"/>
    <xf numFmtId="41" fontId="14" fillId="0" borderId="3" xfId="486" applyNumberFormat="1" applyBorder="1"/>
    <xf numFmtId="41" fontId="14" fillId="0" borderId="0" xfId="486" applyNumberFormat="1"/>
    <xf numFmtId="41" fontId="14" fillId="0" borderId="0" xfId="460" applyNumberFormat="1"/>
    <xf numFmtId="0" fontId="14" fillId="25" borderId="0" xfId="450" quotePrefix="1" applyFill="1">
      <alignment horizontal="left" indent="1"/>
    </xf>
    <xf numFmtId="174" fontId="0" fillId="25" borderId="0" xfId="0" quotePrefix="1" applyFill="1"/>
    <xf numFmtId="282" fontId="14" fillId="25" borderId="0" xfId="452" applyFill="1"/>
    <xf numFmtId="282" fontId="14" fillId="25" borderId="0" xfId="452" applyFill="1" applyBorder="1"/>
    <xf numFmtId="282" fontId="14" fillId="25" borderId="0" xfId="486" applyNumberFormat="1" applyFill="1"/>
    <xf numFmtId="0" fontId="14" fillId="25" borderId="0" xfId="486" applyFill="1"/>
    <xf numFmtId="41" fontId="14" fillId="25" borderId="0" xfId="486" applyNumberFormat="1" applyFill="1"/>
    <xf numFmtId="0" fontId="14" fillId="0" borderId="0" xfId="450" quotePrefix="1" applyFill="1">
      <alignment horizontal="left" indent="1"/>
    </xf>
    <xf numFmtId="282" fontId="14" fillId="0" borderId="0" xfId="452" applyFill="1"/>
    <xf numFmtId="282" fontId="14" fillId="0" borderId="0" xfId="452" applyFill="1" applyBorder="1"/>
    <xf numFmtId="282" fontId="14" fillId="0" borderId="0" xfId="486" applyNumberFormat="1"/>
    <xf numFmtId="0" fontId="39" fillId="0" borderId="0" xfId="410" applyFont="1"/>
    <xf numFmtId="0" fontId="14" fillId="0" borderId="0" xfId="410"/>
    <xf numFmtId="282" fontId="14" fillId="25" borderId="1" xfId="451" applyFill="1"/>
    <xf numFmtId="282" fontId="14" fillId="25" borderId="1" xfId="452" applyFill="1" applyBorder="1"/>
    <xf numFmtId="282" fontId="14" fillId="25" borderId="1" xfId="486" applyNumberFormat="1" applyFill="1" applyBorder="1"/>
    <xf numFmtId="41" fontId="14" fillId="25" borderId="1" xfId="486" applyNumberFormat="1" applyFill="1" applyBorder="1"/>
    <xf numFmtId="41" fontId="14" fillId="0" borderId="1" xfId="460" applyNumberFormat="1" applyBorder="1"/>
    <xf numFmtId="41" fontId="0" fillId="0" borderId="0" xfId="0" applyNumberFormat="1"/>
    <xf numFmtId="170" fontId="0" fillId="0" borderId="0" xfId="0" applyNumberFormat="1"/>
    <xf numFmtId="41" fontId="0" fillId="24" borderId="0" xfId="0" applyNumberFormat="1" applyFill="1"/>
    <xf numFmtId="282" fontId="14" fillId="0" borderId="0" xfId="452"/>
    <xf numFmtId="0" fontId="14" fillId="0" borderId="0" xfId="450" quotePrefix="1">
      <alignment horizontal="left" indent="1"/>
    </xf>
    <xf numFmtId="282" fontId="14" fillId="0" borderId="0" xfId="452" applyBorder="1"/>
    <xf numFmtId="175" fontId="14" fillId="19" borderId="0" xfId="59" applyNumberFormat="1" applyFill="1"/>
    <xf numFmtId="41" fontId="14" fillId="19" borderId="0" xfId="410" applyNumberFormat="1" applyFill="1"/>
    <xf numFmtId="41" fontId="14" fillId="0" borderId="0" xfId="452" applyNumberFormat="1"/>
    <xf numFmtId="41" fontId="14" fillId="0" borderId="3" xfId="59" applyNumberFormat="1" applyBorder="1"/>
    <xf numFmtId="41" fontId="14" fillId="0" borderId="0" xfId="452" applyNumberFormat="1" applyBorder="1"/>
    <xf numFmtId="41" fontId="14" fillId="0" borderId="3" xfId="452" applyNumberFormat="1" applyBorder="1"/>
    <xf numFmtId="176" fontId="0" fillId="0" borderId="0" xfId="0" applyNumberFormat="1"/>
    <xf numFmtId="176" fontId="0" fillId="24" borderId="0" xfId="0" applyNumberFormat="1" applyFill="1"/>
    <xf numFmtId="0" fontId="14" fillId="25" borderId="1" xfId="486" applyFill="1" applyBorder="1"/>
    <xf numFmtId="174" fontId="0" fillId="0" borderId="0" xfId="0" applyAlignment="1">
      <alignment wrapText="1"/>
    </xf>
    <xf numFmtId="0" fontId="39" fillId="0" borderId="0" xfId="449">
      <alignment horizontal="center" wrapText="1"/>
    </xf>
    <xf numFmtId="0" fontId="39" fillId="0" borderId="0" xfId="449" quotePrefix="1">
      <alignment horizontal="center" wrapText="1"/>
    </xf>
    <xf numFmtId="282" fontId="14" fillId="0" borderId="1" xfId="451"/>
    <xf numFmtId="0" fontId="14" fillId="0" borderId="1" xfId="460" applyBorder="1"/>
    <xf numFmtId="175" fontId="14" fillId="0" borderId="0" xfId="59" applyNumberFormat="1"/>
    <xf numFmtId="175" fontId="14" fillId="0" borderId="1" xfId="59" applyNumberFormat="1" applyBorder="1"/>
    <xf numFmtId="282" fontId="14" fillId="0" borderId="7" xfId="453"/>
    <xf numFmtId="282" fontId="14" fillId="0" borderId="14" xfId="454"/>
    <xf numFmtId="0" fontId="39" fillId="0" borderId="0" xfId="455" quotePrefix="1"/>
    <xf numFmtId="10" fontId="14" fillId="0" borderId="0" xfId="456" quotePrefix="1"/>
    <xf numFmtId="10" fontId="14" fillId="0" borderId="0" xfId="456"/>
    <xf numFmtId="282" fontId="14" fillId="0" borderId="49" xfId="457"/>
    <xf numFmtId="282" fontId="14" fillId="0" borderId="8" xfId="458"/>
    <xf numFmtId="10" fontId="0" fillId="0" borderId="0" xfId="0" applyNumberFormat="1"/>
    <xf numFmtId="41" fontId="0" fillId="0" borderId="3" xfId="0" applyNumberFormat="1" applyBorder="1"/>
    <xf numFmtId="175" fontId="54" fillId="17" borderId="14" xfId="59" applyNumberFormat="1" applyFont="1" applyFill="1" applyBorder="1"/>
    <xf numFmtId="0" fontId="54" fillId="0" borderId="0" xfId="211" applyNumberFormat="1" applyFont="1" applyAlignment="1" applyProtection="1">
      <alignment vertical="top" wrapText="1"/>
      <protection locked="0"/>
    </xf>
    <xf numFmtId="174" fontId="54" fillId="0" borderId="0" xfId="0" applyFont="1" applyAlignment="1">
      <alignment vertical="top" wrapText="1"/>
    </xf>
    <xf numFmtId="0" fontId="54" fillId="0" borderId="0" xfId="206" applyFont="1" applyAlignment="1">
      <alignment vertical="top" wrapText="1"/>
    </xf>
    <xf numFmtId="0" fontId="54" fillId="0" borderId="0" xfId="0" applyNumberFormat="1" applyFont="1" applyAlignment="1">
      <alignment horizontal="left" vertical="top" wrapText="1"/>
    </xf>
    <xf numFmtId="174" fontId="54" fillId="0" borderId="0" xfId="0" applyFont="1" applyAlignment="1">
      <alignment horizontal="left" wrapText="1"/>
    </xf>
    <xf numFmtId="0" fontId="54" fillId="0" borderId="0" xfId="211" quotePrefix="1" applyNumberFormat="1" applyFont="1" applyAlignment="1">
      <alignment vertical="top" wrapText="1"/>
    </xf>
    <xf numFmtId="0" fontId="54" fillId="0" borderId="0" xfId="211" applyNumberFormat="1" applyFont="1" applyAlignment="1">
      <alignment vertical="top" wrapText="1"/>
    </xf>
    <xf numFmtId="0" fontId="54" fillId="0" borderId="0" xfId="188" quotePrefix="1" applyFont="1" applyAlignment="1">
      <alignment vertical="top" wrapText="1"/>
    </xf>
    <xf numFmtId="0" fontId="54" fillId="0" borderId="0" xfId="188" applyFont="1" applyAlignment="1">
      <alignment vertical="top" wrapText="1"/>
    </xf>
    <xf numFmtId="174" fontId="54" fillId="0" borderId="0" xfId="211" applyFont="1" applyAlignment="1">
      <alignment horizontal="center"/>
    </xf>
    <xf numFmtId="49" fontId="54" fillId="0" borderId="0" xfId="211" applyNumberFormat="1" applyFont="1" applyAlignment="1" applyProtection="1">
      <alignment horizontal="center"/>
      <protection locked="0"/>
    </xf>
    <xf numFmtId="0" fontId="93" fillId="0" borderId="0" xfId="211" applyNumberFormat="1" applyFont="1" applyAlignment="1" applyProtection="1">
      <alignment vertical="top" wrapText="1"/>
      <protection locked="0"/>
    </xf>
    <xf numFmtId="174" fontId="44" fillId="0" borderId="0" xfId="0" applyFont="1" applyAlignment="1">
      <alignment horizontal="left" vertical="center" wrapText="1"/>
    </xf>
    <xf numFmtId="174" fontId="54" fillId="0" borderId="0" xfId="201" applyFont="1" applyAlignment="1">
      <alignment horizontal="left"/>
    </xf>
    <xf numFmtId="174" fontId="54" fillId="0" borderId="0" xfId="201" applyFont="1" applyAlignment="1">
      <alignment horizontal="left" vertical="top" wrapText="1"/>
    </xf>
    <xf numFmtId="174" fontId="54" fillId="0" borderId="0" xfId="201" applyFont="1" applyAlignment="1">
      <alignment horizontal="left" wrapText="1"/>
    </xf>
    <xf numFmtId="174" fontId="54" fillId="0" borderId="30" xfId="0" applyFont="1" applyBorder="1" applyAlignment="1">
      <alignment horizontal="center"/>
    </xf>
    <xf numFmtId="174" fontId="54" fillId="0" borderId="31" xfId="0" applyFont="1" applyBorder="1" applyAlignment="1">
      <alignment horizontal="center"/>
    </xf>
    <xf numFmtId="174" fontId="54" fillId="0" borderId="17" xfId="0" applyFont="1" applyBorder="1" applyAlignment="1">
      <alignment horizontal="center"/>
    </xf>
    <xf numFmtId="174" fontId="54" fillId="0" borderId="32" xfId="0" applyFont="1" applyBorder="1" applyAlignment="1">
      <alignment horizontal="center"/>
    </xf>
    <xf numFmtId="174" fontId="54" fillId="0" borderId="0" xfId="0" applyFont="1" applyAlignment="1">
      <alignment horizontal="left" vertical="top" wrapText="1"/>
    </xf>
    <xf numFmtId="0" fontId="54" fillId="0" borderId="0" xfId="188" applyFont="1" applyAlignment="1">
      <alignment horizontal="left" vertical="top" wrapText="1"/>
    </xf>
    <xf numFmtId="174" fontId="61" fillId="0" borderId="0" xfId="0" applyFont="1" applyAlignment="1">
      <alignment horizontal="center"/>
    </xf>
    <xf numFmtId="0" fontId="61" fillId="0" borderId="0" xfId="212" applyFont="1" applyAlignment="1">
      <alignment horizontal="center"/>
    </xf>
    <xf numFmtId="174" fontId="54" fillId="0" borderId="0" xfId="0" applyFont="1" applyAlignment="1">
      <alignment horizontal="left" vertical="center" wrapText="1"/>
    </xf>
    <xf numFmtId="0" fontId="83" fillId="0" borderId="0" xfId="188" applyFont="1" applyAlignment="1">
      <alignment horizontal="left" vertical="top" wrapText="1"/>
    </xf>
    <xf numFmtId="0" fontId="54" fillId="0" borderId="0" xfId="184" applyFont="1" applyAlignment="1">
      <alignment horizontal="center"/>
    </xf>
    <xf numFmtId="0" fontId="54" fillId="19" borderId="0" xfId="184" applyFont="1" applyFill="1" applyAlignment="1">
      <alignment horizontal="center"/>
    </xf>
    <xf numFmtId="0" fontId="107" fillId="0" borderId="0" xfId="184" applyFont="1" applyAlignment="1">
      <alignment horizontal="center"/>
    </xf>
    <xf numFmtId="0" fontId="107" fillId="19" borderId="0" xfId="184" applyFont="1" applyFill="1" applyAlignment="1">
      <alignment horizontal="center"/>
    </xf>
    <xf numFmtId="0" fontId="54" fillId="0" borderId="0" xfId="184" applyFont="1" applyAlignment="1">
      <alignment wrapText="1"/>
    </xf>
    <xf numFmtId="0" fontId="54" fillId="0" borderId="0" xfId="184" applyFont="1" applyAlignment="1">
      <alignment horizontal="left" wrapText="1"/>
    </xf>
    <xf numFmtId="0" fontId="54" fillId="0" borderId="0" xfId="184" applyFont="1"/>
    <xf numFmtId="0" fontId="54" fillId="0" borderId="24" xfId="184" applyFont="1" applyBorder="1" applyAlignment="1">
      <alignment horizontal="center"/>
    </xf>
    <xf numFmtId="0" fontId="54" fillId="0" borderId="21" xfId="184" applyFont="1" applyBorder="1" applyAlignment="1">
      <alignment horizontal="center"/>
    </xf>
    <xf numFmtId="0" fontId="54" fillId="0" borderId="20" xfId="184" applyFont="1" applyBorder="1" applyAlignment="1">
      <alignment horizontal="center"/>
    </xf>
    <xf numFmtId="174" fontId="54" fillId="0" borderId="10" xfId="0" applyFont="1" applyBorder="1" applyAlignment="1">
      <alignment horizontal="center"/>
    </xf>
    <xf numFmtId="174" fontId="54" fillId="0" borderId="0" xfId="0" applyFont="1" applyAlignment="1">
      <alignment horizontal="center"/>
    </xf>
    <xf numFmtId="174" fontId="54" fillId="0" borderId="12" xfId="0" applyFont="1" applyBorder="1" applyAlignment="1">
      <alignment horizontal="center"/>
    </xf>
    <xf numFmtId="174" fontId="16" fillId="0" borderId="0" xfId="201" applyFont="1" applyAlignment="1">
      <alignment horizontal="left" wrapText="1"/>
    </xf>
    <xf numFmtId="0" fontId="54" fillId="0" borderId="19" xfId="187" applyFont="1" applyBorder="1" applyAlignment="1">
      <alignment horizontal="left"/>
    </xf>
    <xf numFmtId="0" fontId="54" fillId="0" borderId="0" xfId="187" applyFont="1" applyAlignment="1">
      <alignment horizontal="left"/>
    </xf>
    <xf numFmtId="0" fontId="54" fillId="0" borderId="0" xfId="187" applyFont="1" applyAlignment="1">
      <alignment horizontal="center"/>
    </xf>
    <xf numFmtId="0" fontId="54" fillId="0" borderId="0" xfId="211" applyNumberFormat="1" applyFont="1" applyAlignment="1">
      <alignment horizontal="center"/>
    </xf>
    <xf numFmtId="0" fontId="61" fillId="0" borderId="0" xfId="187" applyFont="1" applyAlignment="1">
      <alignment horizontal="center"/>
    </xf>
    <xf numFmtId="174" fontId="61" fillId="0" borderId="0" xfId="0" applyFont="1" applyAlignment="1" applyProtection="1">
      <alignment horizontal="center"/>
      <protection locked="0"/>
    </xf>
    <xf numFmtId="174" fontId="61" fillId="15" borderId="24" xfId="0" applyFont="1" applyFill="1" applyBorder="1" applyAlignment="1" applyProtection="1">
      <alignment horizontal="center"/>
      <protection locked="0"/>
    </xf>
    <xf numFmtId="174" fontId="61" fillId="15" borderId="21" xfId="0" applyFont="1" applyFill="1" applyBorder="1" applyAlignment="1" applyProtection="1">
      <alignment horizontal="center"/>
      <protection locked="0"/>
    </xf>
    <xf numFmtId="174" fontId="61" fillId="15" borderId="20" xfId="0" applyFont="1" applyFill="1" applyBorder="1" applyAlignment="1" applyProtection="1">
      <alignment horizontal="center"/>
      <protection locked="0"/>
    </xf>
    <xf numFmtId="175" fontId="61" fillId="0" borderId="21" xfId="0" applyNumberFormat="1" applyFont="1" applyBorder="1" applyAlignment="1" applyProtection="1">
      <alignment horizontal="center"/>
      <protection locked="0"/>
    </xf>
    <xf numFmtId="2" fontId="104" fillId="0" borderId="0" xfId="0" applyNumberFormat="1" applyFont="1" applyAlignment="1">
      <alignment horizontal="center" wrapText="1"/>
    </xf>
    <xf numFmtId="174" fontId="34" fillId="0" borderId="0" xfId="0" applyFont="1" applyAlignment="1">
      <alignment horizontal="center"/>
    </xf>
    <xf numFmtId="0" fontId="21" fillId="0" borderId="0" xfId="448" applyAlignment="1">
      <alignment horizontal="left" wrapText="1"/>
    </xf>
    <xf numFmtId="174" fontId="0" fillId="0" borderId="0" xfId="0"/>
    <xf numFmtId="0" fontId="14" fillId="23" borderId="1" xfId="486" applyFill="1" applyBorder="1" applyAlignment="1">
      <alignment horizontal="center"/>
    </xf>
    <xf numFmtId="0" fontId="39" fillId="0" borderId="16" xfId="486" applyFont="1" applyBorder="1" applyAlignment="1">
      <alignment horizontal="center"/>
    </xf>
    <xf numFmtId="0" fontId="39" fillId="0" borderId="7" xfId="486" applyFont="1" applyBorder="1" applyAlignment="1">
      <alignment horizontal="center"/>
    </xf>
    <xf numFmtId="0" fontId="39" fillId="0" borderId="38" xfId="486" applyFont="1" applyBorder="1" applyAlignment="1">
      <alignment horizontal="center"/>
    </xf>
    <xf numFmtId="0" fontId="39" fillId="0" borderId="0" xfId="486" applyFont="1" applyAlignment="1">
      <alignment horizontal="center"/>
    </xf>
    <xf numFmtId="22" fontId="13" fillId="0" borderId="0" xfId="447" quotePrefix="1" applyNumberFormat="1" applyAlignment="1">
      <alignment horizontal="left" wrapText="1"/>
    </xf>
    <xf numFmtId="0" fontId="21" fillId="0" borderId="0" xfId="448" quotePrefix="1" applyAlignment="1">
      <alignment horizontal="left" wrapText="1"/>
    </xf>
    <xf numFmtId="3" fontId="54" fillId="0" borderId="0" xfId="211" applyNumberFormat="1" applyFont="1" applyAlignment="1">
      <alignment horizontal="center"/>
    </xf>
  </cellXfs>
  <cellStyles count="487">
    <cellStyle name="¢ Currency [1]" xfId="2" xr:uid="{00000000-0005-0000-0000-000000000000}"/>
    <cellStyle name="¢ Currency [2]" xfId="3" xr:uid="{00000000-0005-0000-0000-000001000000}"/>
    <cellStyle name="¢ Currency [3]" xfId="4" xr:uid="{00000000-0005-0000-0000-000002000000}"/>
    <cellStyle name="£ Currency [0]" xfId="5" xr:uid="{00000000-0005-0000-0000-000003000000}"/>
    <cellStyle name="£ Currency [1]" xfId="6" xr:uid="{00000000-0005-0000-0000-000004000000}"/>
    <cellStyle name="£ Currency [2]" xfId="7" xr:uid="{00000000-0005-0000-0000-000005000000}"/>
    <cellStyle name="=C:\WINNT35\SYSTEM32\COMMAND.COM" xfId="1" xr:uid="{00000000-0005-0000-0000-000006000000}"/>
    <cellStyle name="Basic" xfId="8" xr:uid="{00000000-0005-0000-0000-000007000000}"/>
    <cellStyle name="black" xfId="9" xr:uid="{00000000-0005-0000-0000-000008000000}"/>
    <cellStyle name="blu" xfId="10" xr:uid="{00000000-0005-0000-0000-000009000000}"/>
    <cellStyle name="BoldUnderlineNumber" xfId="458" xr:uid="{AB39EBEA-C62D-427B-8F2A-01142D77C18C}"/>
    <cellStyle name="bot" xfId="11" xr:uid="{00000000-0005-0000-0000-00000A000000}"/>
    <cellStyle name="Bullet" xfId="12" xr:uid="{00000000-0005-0000-0000-00000B000000}"/>
    <cellStyle name="Bullet [0]" xfId="13" xr:uid="{00000000-0005-0000-0000-00000C000000}"/>
    <cellStyle name="Bullet [2]" xfId="14" xr:uid="{00000000-0005-0000-0000-00000D000000}"/>
    <cellStyle name="Bullet [4]" xfId="15" xr:uid="{00000000-0005-0000-0000-00000E000000}"/>
    <cellStyle name="c" xfId="16" xr:uid="{00000000-0005-0000-0000-00000F000000}"/>
    <cellStyle name="c," xfId="17" xr:uid="{00000000-0005-0000-0000-000010000000}"/>
    <cellStyle name="c_HardInc " xfId="18" xr:uid="{00000000-0005-0000-0000-000011000000}"/>
    <cellStyle name="c_HardInc _ITC Great Plains Formula 1-12-09a" xfId="19" xr:uid="{00000000-0005-0000-0000-000012000000}"/>
    <cellStyle name="C00A" xfId="20" xr:uid="{00000000-0005-0000-0000-000013000000}"/>
    <cellStyle name="C00B" xfId="21" xr:uid="{00000000-0005-0000-0000-000014000000}"/>
    <cellStyle name="C00L" xfId="22" xr:uid="{00000000-0005-0000-0000-000015000000}"/>
    <cellStyle name="C01A" xfId="23" xr:uid="{00000000-0005-0000-0000-000016000000}"/>
    <cellStyle name="C01B" xfId="24" xr:uid="{00000000-0005-0000-0000-000017000000}"/>
    <cellStyle name="C01H" xfId="25" xr:uid="{00000000-0005-0000-0000-000018000000}"/>
    <cellStyle name="C01L" xfId="26" xr:uid="{00000000-0005-0000-0000-000019000000}"/>
    <cellStyle name="C02A" xfId="27" xr:uid="{00000000-0005-0000-0000-00001A000000}"/>
    <cellStyle name="C02B" xfId="28" xr:uid="{00000000-0005-0000-0000-00001B000000}"/>
    <cellStyle name="C02H" xfId="29" xr:uid="{00000000-0005-0000-0000-00001C000000}"/>
    <cellStyle name="C02L" xfId="30" xr:uid="{00000000-0005-0000-0000-00001D000000}"/>
    <cellStyle name="C03A" xfId="31" xr:uid="{00000000-0005-0000-0000-00001E000000}"/>
    <cellStyle name="C03B" xfId="32" xr:uid="{00000000-0005-0000-0000-00001F000000}"/>
    <cellStyle name="C03H" xfId="33" xr:uid="{00000000-0005-0000-0000-000020000000}"/>
    <cellStyle name="C03L" xfId="34" xr:uid="{00000000-0005-0000-0000-000021000000}"/>
    <cellStyle name="C04A" xfId="35" xr:uid="{00000000-0005-0000-0000-000022000000}"/>
    <cellStyle name="C04B" xfId="36" xr:uid="{00000000-0005-0000-0000-000023000000}"/>
    <cellStyle name="C04H" xfId="37" xr:uid="{00000000-0005-0000-0000-000024000000}"/>
    <cellStyle name="C04L" xfId="38" xr:uid="{00000000-0005-0000-0000-000025000000}"/>
    <cellStyle name="C05A" xfId="39" xr:uid="{00000000-0005-0000-0000-000026000000}"/>
    <cellStyle name="C05B" xfId="40" xr:uid="{00000000-0005-0000-0000-000027000000}"/>
    <cellStyle name="C05H" xfId="41" xr:uid="{00000000-0005-0000-0000-000028000000}"/>
    <cellStyle name="C05L" xfId="42" xr:uid="{00000000-0005-0000-0000-000029000000}"/>
    <cellStyle name="C05L 2" xfId="43" xr:uid="{00000000-0005-0000-0000-00002A000000}"/>
    <cellStyle name="C06A" xfId="44" xr:uid="{00000000-0005-0000-0000-00002B000000}"/>
    <cellStyle name="C06B" xfId="45" xr:uid="{00000000-0005-0000-0000-00002C000000}"/>
    <cellStyle name="C06H" xfId="46" xr:uid="{00000000-0005-0000-0000-00002D000000}"/>
    <cellStyle name="C06L" xfId="47" xr:uid="{00000000-0005-0000-0000-00002E000000}"/>
    <cellStyle name="C07A" xfId="48" xr:uid="{00000000-0005-0000-0000-00002F000000}"/>
    <cellStyle name="C07B" xfId="49" xr:uid="{00000000-0005-0000-0000-000030000000}"/>
    <cellStyle name="C07H" xfId="50" xr:uid="{00000000-0005-0000-0000-000031000000}"/>
    <cellStyle name="C07L" xfId="51" xr:uid="{00000000-0005-0000-0000-000032000000}"/>
    <cellStyle name="c1" xfId="52" xr:uid="{00000000-0005-0000-0000-000033000000}"/>
    <cellStyle name="c1," xfId="53" xr:uid="{00000000-0005-0000-0000-000034000000}"/>
    <cellStyle name="c2" xfId="54" xr:uid="{00000000-0005-0000-0000-000035000000}"/>
    <cellStyle name="c2," xfId="55" xr:uid="{00000000-0005-0000-0000-000036000000}"/>
    <cellStyle name="c3" xfId="56" xr:uid="{00000000-0005-0000-0000-000037000000}"/>
    <cellStyle name="cas" xfId="57" xr:uid="{00000000-0005-0000-0000-000038000000}"/>
    <cellStyle name="Centered Heading" xfId="58" xr:uid="{00000000-0005-0000-0000-000039000000}"/>
    <cellStyle name="ColumnHeader" xfId="467" xr:uid="{AF810DA2-D170-4FA5-BE50-BA17B0E358B2}"/>
    <cellStyle name="Comma" xfId="59" builtinId="3"/>
    <cellStyle name="Comma  - Style1" xfId="60" xr:uid="{00000000-0005-0000-0000-00003B000000}"/>
    <cellStyle name="Comma  - Style2" xfId="61" xr:uid="{00000000-0005-0000-0000-00003C000000}"/>
    <cellStyle name="Comma  - Style3" xfId="62" xr:uid="{00000000-0005-0000-0000-00003D000000}"/>
    <cellStyle name="Comma  - Style4" xfId="63" xr:uid="{00000000-0005-0000-0000-00003E000000}"/>
    <cellStyle name="Comma  - Style5" xfId="64" xr:uid="{00000000-0005-0000-0000-00003F000000}"/>
    <cellStyle name="Comma  - Style6" xfId="65" xr:uid="{00000000-0005-0000-0000-000040000000}"/>
    <cellStyle name="Comma  - Style7" xfId="66" xr:uid="{00000000-0005-0000-0000-000041000000}"/>
    <cellStyle name="Comma  - Style8" xfId="67" xr:uid="{00000000-0005-0000-0000-000042000000}"/>
    <cellStyle name="Comma [0] 2" xfId="68" xr:uid="{00000000-0005-0000-0000-000043000000}"/>
    <cellStyle name="Comma [0] 2 2" xfId="390" xr:uid="{F1A11952-D50D-4CD4-BDA1-95A9C2F75C50}"/>
    <cellStyle name="Comma [0] 3" xfId="440" xr:uid="{8A64CB4C-C431-44EE-8B81-5FCB3073D658}"/>
    <cellStyle name="Comma [0] 4" xfId="443" xr:uid="{86D79117-C6E5-4256-BE44-5B8AE265AA3F}"/>
    <cellStyle name="Comma [1]" xfId="69" xr:uid="{00000000-0005-0000-0000-000044000000}"/>
    <cellStyle name="Comma [2]" xfId="70" xr:uid="{00000000-0005-0000-0000-000045000000}"/>
    <cellStyle name="Comma [3]" xfId="71" xr:uid="{00000000-0005-0000-0000-000046000000}"/>
    <cellStyle name="Comma 0.0" xfId="72" xr:uid="{00000000-0005-0000-0000-000047000000}"/>
    <cellStyle name="Comma 0.00" xfId="73" xr:uid="{00000000-0005-0000-0000-000048000000}"/>
    <cellStyle name="Comma 0.000" xfId="74" xr:uid="{00000000-0005-0000-0000-000049000000}"/>
    <cellStyle name="Comma 0.0000" xfId="75" xr:uid="{00000000-0005-0000-0000-00004A000000}"/>
    <cellStyle name="Comma 10" xfId="76" xr:uid="{00000000-0005-0000-0000-00004B000000}"/>
    <cellStyle name="Comma 10 10" xfId="406" xr:uid="{CCA99D24-DE04-4220-87E7-E3A57F1B7625}"/>
    <cellStyle name="Comma 10 2" xfId="415" xr:uid="{FB7CD252-F019-4BF8-8830-837297AE77CA}"/>
    <cellStyle name="Comma 10 2 2" xfId="431" xr:uid="{C9C1B1FB-1059-4ABC-994B-637D779EEB45}"/>
    <cellStyle name="Comma 11" xfId="77" xr:uid="{00000000-0005-0000-0000-00004C000000}"/>
    <cellStyle name="Comma 12" xfId="384" xr:uid="{9E816AB6-7453-4ED9-971F-34551CE99AD1}"/>
    <cellStyle name="Comma 13" xfId="398" xr:uid="{83CF5CCB-B5A3-4487-A05C-BABDECAD92AA}"/>
    <cellStyle name="Comma 13 2" xfId="423" xr:uid="{1D74E45A-0FB5-4A29-8355-6EF15AC696DA}"/>
    <cellStyle name="Comma 13 3" xfId="436" xr:uid="{3EAF7DC0-FBBC-42CC-8880-EC6ABC0442C0}"/>
    <cellStyle name="Comma 13 4" xfId="477" xr:uid="{A1EF2242-FF4D-40F0-8B72-4F2567B5E93A}"/>
    <cellStyle name="Comma 14" xfId="412" xr:uid="{F3F2EC71-0F13-4E0A-A096-5233213DB425}"/>
    <cellStyle name="Comma 14 2" xfId="430" xr:uid="{748410F5-3DB1-4121-BDC1-3753112B114F}"/>
    <cellStyle name="Comma 14 3" xfId="484" xr:uid="{2A827437-CB37-48C8-8CA7-C750D6FFC85D}"/>
    <cellStyle name="Comma 2" xfId="78" xr:uid="{00000000-0005-0000-0000-00004D000000}"/>
    <cellStyle name="Comma 2 2" xfId="79" xr:uid="{00000000-0005-0000-0000-00004E000000}"/>
    <cellStyle name="Comma 2 2 2" xfId="411" xr:uid="{DB8B0483-2EB2-4D54-BEC4-F4A9DBB156FC}"/>
    <cellStyle name="Comma 2 3" xfId="383" xr:uid="{5A13C53E-B2D7-4FDC-BC0E-1EA609B956F3}"/>
    <cellStyle name="Comma 2 3 2" xfId="482" xr:uid="{A6064A72-EDD1-4AC5-91C4-373E5F8184B1}"/>
    <cellStyle name="Comma 2 4" xfId="441" xr:uid="{1F13CCCB-0A06-47B3-9CAC-7704392BE173}"/>
    <cellStyle name="Comma 3" xfId="80" xr:uid="{00000000-0005-0000-0000-00004F000000}"/>
    <cellStyle name="Comma 3 2" xfId="81" xr:uid="{00000000-0005-0000-0000-000050000000}"/>
    <cellStyle name="Comma 4" xfId="82" xr:uid="{00000000-0005-0000-0000-000051000000}"/>
    <cellStyle name="Comma 5" xfId="83" xr:uid="{00000000-0005-0000-0000-000052000000}"/>
    <cellStyle name="Comma 5 2" xfId="395" xr:uid="{95C17741-19CD-4FC7-A861-8336EF06CCC4}"/>
    <cellStyle name="Comma 6" xfId="84" xr:uid="{00000000-0005-0000-0000-000053000000}"/>
    <cellStyle name="Comma 7" xfId="85" xr:uid="{00000000-0005-0000-0000-000054000000}"/>
    <cellStyle name="Comma 7 2" xfId="391" xr:uid="{F7F9A6A9-A1AC-48F6-BA0B-BAF5025D1105}"/>
    <cellStyle name="Comma 8" xfId="86" xr:uid="{00000000-0005-0000-0000-000055000000}"/>
    <cellStyle name="Comma 8 2" xfId="87" xr:uid="{00000000-0005-0000-0000-000056000000}"/>
    <cellStyle name="Comma 8 2 2" xfId="365" xr:uid="{00000000-0005-0000-0000-000057000000}"/>
    <cellStyle name="Comma 9" xfId="88" xr:uid="{00000000-0005-0000-0000-000058000000}"/>
    <cellStyle name="Comma 9 2" xfId="366" xr:uid="{00000000-0005-0000-0000-000059000000}"/>
    <cellStyle name="Comma Input" xfId="89" xr:uid="{00000000-0005-0000-0000-00005A000000}"/>
    <cellStyle name="Comma0" xfId="90" xr:uid="{00000000-0005-0000-0000-00005B000000}"/>
    <cellStyle name="Company Name" xfId="91" xr:uid="{00000000-0005-0000-0000-00005C000000}"/>
    <cellStyle name="Config Data" xfId="92" xr:uid="{00000000-0005-0000-0000-00005D000000}"/>
    <cellStyle name="Currency" xfId="93" builtinId="4"/>
    <cellStyle name="Currency [1]" xfId="94" xr:uid="{00000000-0005-0000-0000-00005F000000}"/>
    <cellStyle name="Currency [2]" xfId="95" xr:uid="{00000000-0005-0000-0000-000060000000}"/>
    <cellStyle name="Currency [3]" xfId="96" xr:uid="{00000000-0005-0000-0000-000061000000}"/>
    <cellStyle name="Currency 0.0" xfId="97" xr:uid="{00000000-0005-0000-0000-000062000000}"/>
    <cellStyle name="Currency 0.00" xfId="98" xr:uid="{00000000-0005-0000-0000-000063000000}"/>
    <cellStyle name="Currency 0.000" xfId="99" xr:uid="{00000000-0005-0000-0000-000064000000}"/>
    <cellStyle name="Currency 0.0000" xfId="100" xr:uid="{00000000-0005-0000-0000-000065000000}"/>
    <cellStyle name="Currency 2" xfId="101" xr:uid="{00000000-0005-0000-0000-000066000000}"/>
    <cellStyle name="Currency 2 2" xfId="102" xr:uid="{00000000-0005-0000-0000-000067000000}"/>
    <cellStyle name="Currency 3" xfId="103" xr:uid="{00000000-0005-0000-0000-000068000000}"/>
    <cellStyle name="Currency 3 2" xfId="104" xr:uid="{00000000-0005-0000-0000-000069000000}"/>
    <cellStyle name="Currency 4" xfId="105" xr:uid="{00000000-0005-0000-0000-00006A000000}"/>
    <cellStyle name="Currency 5" xfId="402" xr:uid="{B98FF1B0-8678-4627-A856-182BC5E06414}"/>
    <cellStyle name="Currency 5 2" xfId="428" xr:uid="{FF7B0414-C236-4DBB-985F-A2B587FBBE6C}"/>
    <cellStyle name="Currency 5 2 2" xfId="478" xr:uid="{A4A6D0F4-C711-4F99-B274-177CF720F10A}"/>
    <cellStyle name="Currency 5 3" xfId="437" xr:uid="{67248297-EF95-4E6D-9EAF-C51403638664}"/>
    <cellStyle name="Currency 6" xfId="387" xr:uid="{A7DE6B94-CBEC-4CF2-AD15-D3D34E612259}"/>
    <cellStyle name="Currency 6 2" xfId="420" xr:uid="{D1E38D0C-72DF-47FA-AB22-B8AC74609168}"/>
    <cellStyle name="Currency 6 2 2" xfId="473" xr:uid="{7FB52C93-0F2B-4646-9C2B-BF268FDA1F57}"/>
    <cellStyle name="Currency 7" xfId="416" xr:uid="{1AEB864B-48A9-4CE2-97BE-07EFE0E7273C}"/>
    <cellStyle name="Currency 7 2" xfId="426" xr:uid="{D7609A64-7E60-496F-8742-60763D8D0B18}"/>
    <cellStyle name="Currency Input" xfId="106" xr:uid="{00000000-0005-0000-0000-00006B000000}"/>
    <cellStyle name="Currency0" xfId="107" xr:uid="{00000000-0005-0000-0000-00006C000000}"/>
    <cellStyle name="d" xfId="108" xr:uid="{00000000-0005-0000-0000-00006D000000}"/>
    <cellStyle name="d," xfId="109" xr:uid="{00000000-0005-0000-0000-00006E000000}"/>
    <cellStyle name="d1" xfId="110" xr:uid="{00000000-0005-0000-0000-00006F000000}"/>
    <cellStyle name="d1," xfId="111" xr:uid="{00000000-0005-0000-0000-000070000000}"/>
    <cellStyle name="d2" xfId="112" xr:uid="{00000000-0005-0000-0000-000071000000}"/>
    <cellStyle name="d2," xfId="113" xr:uid="{00000000-0005-0000-0000-000072000000}"/>
    <cellStyle name="d3" xfId="114" xr:uid="{00000000-0005-0000-0000-000073000000}"/>
    <cellStyle name="Dash" xfId="115" xr:uid="{00000000-0005-0000-0000-000074000000}"/>
    <cellStyle name="Date" xfId="116" xr:uid="{00000000-0005-0000-0000-000075000000}"/>
    <cellStyle name="Date [Abbreviated]" xfId="117" xr:uid="{00000000-0005-0000-0000-000076000000}"/>
    <cellStyle name="Date [Long Europe]" xfId="118" xr:uid="{00000000-0005-0000-0000-000077000000}"/>
    <cellStyle name="Date [Long U.S.]" xfId="119" xr:uid="{00000000-0005-0000-0000-000078000000}"/>
    <cellStyle name="Date [Short Europe]" xfId="120" xr:uid="{00000000-0005-0000-0000-000079000000}"/>
    <cellStyle name="Date [Short U.S.]" xfId="121" xr:uid="{00000000-0005-0000-0000-00007A000000}"/>
    <cellStyle name="Date_ITCM 2010 Template" xfId="122" xr:uid="{00000000-0005-0000-0000-00007B000000}"/>
    <cellStyle name="Define$0" xfId="123" xr:uid="{00000000-0005-0000-0000-00007C000000}"/>
    <cellStyle name="Define$1" xfId="124" xr:uid="{00000000-0005-0000-0000-00007D000000}"/>
    <cellStyle name="Define$2" xfId="125" xr:uid="{00000000-0005-0000-0000-00007E000000}"/>
    <cellStyle name="Define0" xfId="126" xr:uid="{00000000-0005-0000-0000-00007F000000}"/>
    <cellStyle name="Define1" xfId="127" xr:uid="{00000000-0005-0000-0000-000080000000}"/>
    <cellStyle name="Define1x" xfId="128" xr:uid="{00000000-0005-0000-0000-000081000000}"/>
    <cellStyle name="Define2" xfId="129" xr:uid="{00000000-0005-0000-0000-000082000000}"/>
    <cellStyle name="Define2x" xfId="130" xr:uid="{00000000-0005-0000-0000-000083000000}"/>
    <cellStyle name="DetailIndented" xfId="450" xr:uid="{FE8FE849-27E7-4D10-9122-B83208339F99}"/>
    <cellStyle name="DetailIndented 2" xfId="468" xr:uid="{7581808D-CA78-41FA-9288-95A5E2175694}"/>
    <cellStyle name="DetailIndented 3" xfId="442" xr:uid="{422E31AC-CAD4-462E-9879-CC1B0B0618CD}"/>
    <cellStyle name="DetailTotalNumber" xfId="451" xr:uid="{F1002F7A-952E-488F-AD98-29C3DA14D4EE}"/>
    <cellStyle name="Dollar" xfId="131" xr:uid="{00000000-0005-0000-0000-000084000000}"/>
    <cellStyle name="e" xfId="132" xr:uid="{00000000-0005-0000-0000-000085000000}"/>
    <cellStyle name="e1" xfId="133" xr:uid="{00000000-0005-0000-0000-000086000000}"/>
    <cellStyle name="e2" xfId="134" xr:uid="{00000000-0005-0000-0000-000087000000}"/>
    <cellStyle name="Euro" xfId="135" xr:uid="{00000000-0005-0000-0000-000088000000}"/>
    <cellStyle name="Fixed" xfId="136" xr:uid="{00000000-0005-0000-0000-000089000000}"/>
    <cellStyle name="FOOTER - Style1" xfId="137" xr:uid="{00000000-0005-0000-0000-00008A000000}"/>
    <cellStyle name="g" xfId="138" xr:uid="{00000000-0005-0000-0000-00008B000000}"/>
    <cellStyle name="general" xfId="139" xr:uid="{00000000-0005-0000-0000-00008C000000}"/>
    <cellStyle name="General [C]" xfId="140" xr:uid="{00000000-0005-0000-0000-00008D000000}"/>
    <cellStyle name="General [R]" xfId="141" xr:uid="{00000000-0005-0000-0000-00008E000000}"/>
    <cellStyle name="GrandTotalNumber" xfId="457" xr:uid="{42113C51-AC00-4F2B-860A-ABCFC621EAFE}"/>
    <cellStyle name="Green" xfId="142" xr:uid="{00000000-0005-0000-0000-00008F000000}"/>
    <cellStyle name="grey" xfId="143" xr:uid="{00000000-0005-0000-0000-000090000000}"/>
    <cellStyle name="Header" xfId="447" xr:uid="{8F0AB8A8-E4A9-44CD-9AC9-E451368C5600}"/>
    <cellStyle name="Header1" xfId="144" xr:uid="{00000000-0005-0000-0000-000091000000}"/>
    <cellStyle name="Header2" xfId="145" xr:uid="{00000000-0005-0000-0000-000092000000}"/>
    <cellStyle name="Heading" xfId="146" xr:uid="{00000000-0005-0000-0000-000093000000}"/>
    <cellStyle name="Heading 1" xfId="147" builtinId="16" customBuiltin="1"/>
    <cellStyle name="Heading 1 2" xfId="463" xr:uid="{3CE40B58-BF2A-474B-9C41-A71C541433D3}"/>
    <cellStyle name="Heading 2" xfId="148" builtinId="17" customBuiltin="1"/>
    <cellStyle name="Heading 2 2" xfId="149" xr:uid="{00000000-0005-0000-0000-000096000000}"/>
    <cellStyle name="Heading 2 3" xfId="464" xr:uid="{17CE3CB9-DDAF-4C2E-9A00-59DA363A8BD2}"/>
    <cellStyle name="Heading 3 2" xfId="465" xr:uid="{03330B2A-20ED-4CBD-A248-063925E4F2A7}"/>
    <cellStyle name="Heading No Underline" xfId="150" xr:uid="{00000000-0005-0000-0000-000097000000}"/>
    <cellStyle name="Heading With Underline" xfId="151" xr:uid="{00000000-0005-0000-0000-000098000000}"/>
    <cellStyle name="Heading1" xfId="152" xr:uid="{00000000-0005-0000-0000-000099000000}"/>
    <cellStyle name="Heading2" xfId="153" xr:uid="{00000000-0005-0000-0000-00009A000000}"/>
    <cellStyle name="Headline" xfId="154" xr:uid="{00000000-0005-0000-0000-00009B000000}"/>
    <cellStyle name="Highlight" xfId="155" xr:uid="{00000000-0005-0000-0000-00009C000000}"/>
    <cellStyle name="Hyperlink 2" xfId="156" xr:uid="{00000000-0005-0000-0000-00009D000000}"/>
    <cellStyle name="Hyperlink 3" xfId="400" xr:uid="{D9FA9126-EE55-4ED9-BD38-9CBCE8AE7CBE}"/>
    <cellStyle name="in" xfId="157" xr:uid="{00000000-0005-0000-0000-00009E000000}"/>
    <cellStyle name="Indented [0]" xfId="158" xr:uid="{00000000-0005-0000-0000-00009F000000}"/>
    <cellStyle name="Indented [2]" xfId="159" xr:uid="{00000000-0005-0000-0000-0000A0000000}"/>
    <cellStyle name="Indented [4]" xfId="160" xr:uid="{00000000-0005-0000-0000-0000A1000000}"/>
    <cellStyle name="Indented [6]" xfId="161" xr:uid="{00000000-0005-0000-0000-0000A2000000}"/>
    <cellStyle name="Input [yellow]" xfId="162" xr:uid="{00000000-0005-0000-0000-0000A3000000}"/>
    <cellStyle name="Input$0" xfId="163" xr:uid="{00000000-0005-0000-0000-0000A4000000}"/>
    <cellStyle name="Input$1" xfId="164" xr:uid="{00000000-0005-0000-0000-0000A5000000}"/>
    <cellStyle name="Input$2" xfId="165" xr:uid="{00000000-0005-0000-0000-0000A6000000}"/>
    <cellStyle name="Input0" xfId="166" xr:uid="{00000000-0005-0000-0000-0000A7000000}"/>
    <cellStyle name="Input1" xfId="167" xr:uid="{00000000-0005-0000-0000-0000A8000000}"/>
    <cellStyle name="Input1x" xfId="168" xr:uid="{00000000-0005-0000-0000-0000A9000000}"/>
    <cellStyle name="Input2" xfId="169" xr:uid="{00000000-0005-0000-0000-0000AA000000}"/>
    <cellStyle name="Input2x" xfId="170" xr:uid="{00000000-0005-0000-0000-0000AB000000}"/>
    <cellStyle name="lborder" xfId="171" xr:uid="{00000000-0005-0000-0000-0000AC000000}"/>
    <cellStyle name="LeftSubtitle" xfId="172" xr:uid="{00000000-0005-0000-0000-0000AD000000}"/>
    <cellStyle name="Lines" xfId="173" xr:uid="{00000000-0005-0000-0000-0000AE000000}"/>
    <cellStyle name="m" xfId="174" xr:uid="{00000000-0005-0000-0000-0000AF000000}"/>
    <cellStyle name="m1" xfId="175" xr:uid="{00000000-0005-0000-0000-0000B0000000}"/>
    <cellStyle name="m2" xfId="176" xr:uid="{00000000-0005-0000-0000-0000B1000000}"/>
    <cellStyle name="m3" xfId="177" xr:uid="{00000000-0005-0000-0000-0000B2000000}"/>
    <cellStyle name="Multiple" xfId="178" xr:uid="{00000000-0005-0000-0000-0000B3000000}"/>
    <cellStyle name="Negative" xfId="179" xr:uid="{00000000-0005-0000-0000-0000B4000000}"/>
    <cellStyle name="no dec" xfId="180" xr:uid="{00000000-0005-0000-0000-0000B5000000}"/>
    <cellStyle name="Normal" xfId="0" builtinId="0"/>
    <cellStyle name="Normal - Style1" xfId="181" xr:uid="{00000000-0005-0000-0000-0000B7000000}"/>
    <cellStyle name="Normal 10" xfId="182" xr:uid="{00000000-0005-0000-0000-0000B8000000}"/>
    <cellStyle name="Normal 10 2" xfId="367" xr:uid="{00000000-0005-0000-0000-0000B9000000}"/>
    <cellStyle name="Normal 10 4" xfId="394" xr:uid="{F49EE03E-90E8-45A4-8579-78D5660BEEAC}"/>
    <cellStyle name="Normal 11" xfId="183" xr:uid="{00000000-0005-0000-0000-0000BA000000}"/>
    <cellStyle name="Normal 115" xfId="433" xr:uid="{C5265E3A-452C-42DC-9699-458AA995E7EC}"/>
    <cellStyle name="Normal 12" xfId="381" xr:uid="{DAD2B735-6A20-4F2E-A857-42211CF407D7}"/>
    <cellStyle name="Normal 12 2" xfId="385" xr:uid="{CFE060BE-42F7-4D55-B159-6419D1DCC305}"/>
    <cellStyle name="Normal 12 2 2" xfId="418" xr:uid="{67AC91F9-35B7-428B-98D3-844C860DE89F}"/>
    <cellStyle name="Normal 12 2 2 2" xfId="471" xr:uid="{E22C91C2-D411-4AFE-9F1C-AFE3AAFE6C53}"/>
    <cellStyle name="Normal 12 2 3" xfId="474" xr:uid="{0EFB2C86-8C2A-4296-93F0-6076D4941C3A}"/>
    <cellStyle name="Normal 12 3" xfId="392" xr:uid="{64812F63-A36A-434B-9DD2-553F628012EE}"/>
    <cellStyle name="Normal 13" xfId="393" xr:uid="{E5DBE176-AB04-49BB-81C8-4CE56183F132}"/>
    <cellStyle name="Normal 13 2" xfId="421" xr:uid="{1E2B202C-0013-444E-9F31-054621546801}"/>
    <cellStyle name="Normal 14" xfId="397" xr:uid="{EBF796C3-BDD0-47EC-8073-949038EC0A62}"/>
    <cellStyle name="Normal 14 2" xfId="422" xr:uid="{F2FC7EA4-7269-41DC-8B2A-27F0BCCF5442}"/>
    <cellStyle name="Normal 14 3" xfId="434" xr:uid="{4F5D44D3-10AC-4285-A7BA-429BCAAE1AC6}"/>
    <cellStyle name="Normal 14 4" xfId="475" xr:uid="{9B661F64-863C-40B4-B3C7-AEE5F1F9C03A}"/>
    <cellStyle name="Normal 15" xfId="417" xr:uid="{08AA7B49-9314-4250-810C-16B734C50986}"/>
    <cellStyle name="Normal 15 2" xfId="427" xr:uid="{376B4C30-68AA-40BE-A2F3-563C80641347}"/>
    <cellStyle name="Normal 16" xfId="459" xr:uid="{A9C7ECC0-BFDC-489E-B8FC-CCF850E1B27F}"/>
    <cellStyle name="Normal 16 2" xfId="485" xr:uid="{5ADCD7F3-A2CE-4925-819D-2E15E1E70CFD}"/>
    <cellStyle name="Normal 17" xfId="460" xr:uid="{0E0D9EC9-ED84-4926-A3EE-A00B6E824145}"/>
    <cellStyle name="Normal 17 2" xfId="486" xr:uid="{62E2DE22-74B0-4682-898C-BA7CAD2B560E}"/>
    <cellStyle name="Normal 18" xfId="432" xr:uid="{AE42FCF6-7AD9-4134-A239-36E1A866F16E}"/>
    <cellStyle name="Normal 19" xfId="466" xr:uid="{31B880A7-C54F-4041-8052-4B1927A9C49F}"/>
    <cellStyle name="Normal 2" xfId="184" xr:uid="{00000000-0005-0000-0000-0000BB000000}"/>
    <cellStyle name="Normal 2 2" xfId="185" xr:uid="{00000000-0005-0000-0000-0000BC000000}"/>
    <cellStyle name="Normal 2 2 2" xfId="410" xr:uid="{18FBECAB-14AF-41F9-9EF1-081D3878A8CC}"/>
    <cellStyle name="Normal 2 2 2 2" xfId="414" xr:uid="{617E0B9F-6625-4507-8963-3FEF3CDA98D4}"/>
    <cellStyle name="Normal 2 3" xfId="382" xr:uid="{13020E0D-39C9-41E7-8CF4-C66CDBE8FFD2}"/>
    <cellStyle name="Normal 2 3 2" xfId="403" xr:uid="{C1F0FC26-C1A4-40DA-9B47-039BFA60341B}"/>
    <cellStyle name="Normal 2 4" xfId="439" xr:uid="{7AF7E4C0-515E-4C3A-886B-C8A3F23D5729}"/>
    <cellStyle name="Normal 2 5" xfId="462" xr:uid="{85806DDF-4FF8-4161-B2EA-873E40439371}"/>
    <cellStyle name="Normal 2 6 2 2" xfId="401" xr:uid="{E86D5B51-BDC2-4C92-A998-6616ECDBA6E0}"/>
    <cellStyle name="Normal 2 6 2 2 2" xfId="425" xr:uid="{8A1AC6C6-3171-494E-B90E-9191B4059351}"/>
    <cellStyle name="Normal 2 6 2 2 3" xfId="435" xr:uid="{EBC9E1BD-2EC8-40AA-B624-ECF8DBE8EB43}"/>
    <cellStyle name="Normal 2 6 2 2 4" xfId="476" xr:uid="{D069BADB-7C5A-45C7-9CEB-BD90E5787086}"/>
    <cellStyle name="Normal 3" xfId="186" xr:uid="{00000000-0005-0000-0000-0000BD000000}"/>
    <cellStyle name="Normal 3 2" xfId="187" xr:uid="{00000000-0005-0000-0000-0000BE000000}"/>
    <cellStyle name="Normal 3 3" xfId="445" xr:uid="{EC85EA89-CCF8-4CEE-BDEE-3014BF5AA71F}"/>
    <cellStyle name="Normal 3 4" xfId="388" xr:uid="{FEF47400-C830-4360-8D19-DAC80F18CE51}"/>
    <cellStyle name="Normal 3 5" xfId="481" xr:uid="{6059B5F0-C90E-4BA2-B675-92902C5640AE}"/>
    <cellStyle name="Normal 3 8" xfId="404" xr:uid="{D1EFF233-91A1-48EA-A3E3-3F666DCB4E71}"/>
    <cellStyle name="Normal 3_Attach O, GG, Support -New Method 2-14-11" xfId="188" xr:uid="{00000000-0005-0000-0000-0000BF000000}"/>
    <cellStyle name="Normal 4" xfId="189" xr:uid="{00000000-0005-0000-0000-0000C0000000}"/>
    <cellStyle name="Normal 4 2" xfId="190" xr:uid="{00000000-0005-0000-0000-0000C1000000}"/>
    <cellStyle name="Normal 4 3" xfId="444" xr:uid="{9711844F-7B95-4CE7-B107-F2DB5D22D814}"/>
    <cellStyle name="Normal 4 3 2" xfId="470" xr:uid="{46CE03FE-AE1F-411B-85DF-D325A9472DAA}"/>
    <cellStyle name="Normal 4 4" xfId="469" xr:uid="{C502E280-053B-404E-922D-EB38D27FE2CE}"/>
    <cellStyle name="Normal 4_Attach O, GG, Support -New Method 2-14-11" xfId="191" xr:uid="{00000000-0005-0000-0000-0000C2000000}"/>
    <cellStyle name="Normal 42" xfId="389" xr:uid="{60E58600-24A5-4522-A202-5244C27B1410}"/>
    <cellStyle name="Normal 5" xfId="192" xr:uid="{00000000-0005-0000-0000-0000C3000000}"/>
    <cellStyle name="Normal 6" xfId="193" xr:uid="{00000000-0005-0000-0000-0000C4000000}"/>
    <cellStyle name="Normal 6 2" xfId="194" xr:uid="{00000000-0005-0000-0000-0000C5000000}"/>
    <cellStyle name="Normal 6 2 2" xfId="195" xr:uid="{00000000-0005-0000-0000-0000C6000000}"/>
    <cellStyle name="Normal 6 2 2 2" xfId="196" xr:uid="{00000000-0005-0000-0000-0000C7000000}"/>
    <cellStyle name="Normal 6 2 2 2 2" xfId="371" xr:uid="{00000000-0005-0000-0000-0000C8000000}"/>
    <cellStyle name="Normal 6 2 2 3" xfId="370" xr:uid="{00000000-0005-0000-0000-0000C9000000}"/>
    <cellStyle name="Normal 6 2 3" xfId="197" xr:uid="{00000000-0005-0000-0000-0000CA000000}"/>
    <cellStyle name="Normal 6 2 3 2" xfId="372" xr:uid="{00000000-0005-0000-0000-0000CB000000}"/>
    <cellStyle name="Normal 6 2 4" xfId="369" xr:uid="{00000000-0005-0000-0000-0000CC000000}"/>
    <cellStyle name="Normal 6 3" xfId="198" xr:uid="{00000000-0005-0000-0000-0000CD000000}"/>
    <cellStyle name="Normal 6 3 2" xfId="199" xr:uid="{00000000-0005-0000-0000-0000CE000000}"/>
    <cellStyle name="Normal 6 3 2 2" xfId="374" xr:uid="{00000000-0005-0000-0000-0000CF000000}"/>
    <cellStyle name="Normal 6 3 3" xfId="373" xr:uid="{00000000-0005-0000-0000-0000D0000000}"/>
    <cellStyle name="Normal 6 4" xfId="200" xr:uid="{00000000-0005-0000-0000-0000D1000000}"/>
    <cellStyle name="Normal 6 4 2" xfId="375" xr:uid="{00000000-0005-0000-0000-0000D2000000}"/>
    <cellStyle name="Normal 6 5" xfId="368" xr:uid="{00000000-0005-0000-0000-0000D3000000}"/>
    <cellStyle name="Normal 7" xfId="201" xr:uid="{00000000-0005-0000-0000-0000D4000000}"/>
    <cellStyle name="Normal 7 2 2" xfId="405" xr:uid="{787785A2-961F-49BA-979B-57DB35A39928}"/>
    <cellStyle name="Normal 8" xfId="202" xr:uid="{00000000-0005-0000-0000-0000D5000000}"/>
    <cellStyle name="Normal 8 2" xfId="203" xr:uid="{00000000-0005-0000-0000-0000D6000000}"/>
    <cellStyle name="Normal 8 2 2" xfId="377" xr:uid="{00000000-0005-0000-0000-0000D7000000}"/>
    <cellStyle name="Normal 8 3" xfId="376" xr:uid="{00000000-0005-0000-0000-0000D8000000}"/>
    <cellStyle name="Normal 9" xfId="204" xr:uid="{00000000-0005-0000-0000-0000D9000000}"/>
    <cellStyle name="Normal 9 2" xfId="205" xr:uid="{00000000-0005-0000-0000-0000DA000000}"/>
    <cellStyle name="Normal 9 2 2" xfId="379" xr:uid="{00000000-0005-0000-0000-0000DB000000}"/>
    <cellStyle name="Normal 9 3" xfId="378" xr:uid="{00000000-0005-0000-0000-0000DC000000}"/>
    <cellStyle name="Normal_21 Exh B" xfId="206" xr:uid="{00000000-0005-0000-0000-0000DD000000}"/>
    <cellStyle name="Normal_AR workpaper --2002 Def Tax Exp by Account 8-14-02" xfId="380" xr:uid="{00000000-0005-0000-0000-0000DE000000}"/>
    <cellStyle name="Normal_ATC Projected 2008 Monthly Plant Balances for Attachment O 2 (2)" xfId="207" xr:uid="{00000000-0005-0000-0000-0000DF000000}"/>
    <cellStyle name="Normal_Attachment GG Example 8 26 09" xfId="208" xr:uid="{00000000-0005-0000-0000-0000E0000000}"/>
    <cellStyle name="Normal_Attachment GG Template ER11-28 11-18-10" xfId="209" xr:uid="{00000000-0005-0000-0000-0000E1000000}"/>
    <cellStyle name="Normal_Attachment O Support - 2004 True-up" xfId="210" xr:uid="{00000000-0005-0000-0000-0000E2000000}"/>
    <cellStyle name="Normal_Attachment Os for 2002 True-up" xfId="211" xr:uid="{00000000-0005-0000-0000-0000E3000000}"/>
    <cellStyle name="Normal_Schedule O Info for Mike" xfId="212" xr:uid="{00000000-0005-0000-0000-0000E4000000}"/>
    <cellStyle name="Output1_Back" xfId="213" xr:uid="{00000000-0005-0000-0000-0000E5000000}"/>
    <cellStyle name="p" xfId="214" xr:uid="{00000000-0005-0000-0000-0000E6000000}"/>
    <cellStyle name="p_2010 Attachment O  GG_082709" xfId="215" xr:uid="{00000000-0005-0000-0000-0000E7000000}"/>
    <cellStyle name="p_2010 Attachment O Template Supporting Work Papers_ITC Midwest" xfId="216" xr:uid="{00000000-0005-0000-0000-0000E8000000}"/>
    <cellStyle name="p_2010 Attachment O Template Supporting Work Papers_ITCTransmission" xfId="217" xr:uid="{00000000-0005-0000-0000-0000E9000000}"/>
    <cellStyle name="p_2010 Attachment O Template Supporting Work Papers_METC" xfId="218" xr:uid="{00000000-0005-0000-0000-0000EA000000}"/>
    <cellStyle name="p_2Mod11" xfId="219" xr:uid="{00000000-0005-0000-0000-0000EB000000}"/>
    <cellStyle name="p_aavidmod11.xls Chart 1" xfId="220" xr:uid="{00000000-0005-0000-0000-0000EC000000}"/>
    <cellStyle name="p_aavidmod11.xls Chart 2" xfId="221" xr:uid="{00000000-0005-0000-0000-0000ED000000}"/>
    <cellStyle name="p_Attachment O &amp; GG" xfId="222" xr:uid="{00000000-0005-0000-0000-0000EE000000}"/>
    <cellStyle name="p_charts for capm" xfId="223" xr:uid="{00000000-0005-0000-0000-0000EF000000}"/>
    <cellStyle name="p_DCF" xfId="224" xr:uid="{00000000-0005-0000-0000-0000F0000000}"/>
    <cellStyle name="p_DCF_2Mod11" xfId="225" xr:uid="{00000000-0005-0000-0000-0000F1000000}"/>
    <cellStyle name="p_DCF_aavidmod11.xls Chart 1" xfId="226" xr:uid="{00000000-0005-0000-0000-0000F2000000}"/>
    <cellStyle name="p_DCF_aavidmod11.xls Chart 2" xfId="227" xr:uid="{00000000-0005-0000-0000-0000F3000000}"/>
    <cellStyle name="p_DCF_charts for capm" xfId="228" xr:uid="{00000000-0005-0000-0000-0000F4000000}"/>
    <cellStyle name="p_DCF_DCF5" xfId="229" xr:uid="{00000000-0005-0000-0000-0000F5000000}"/>
    <cellStyle name="p_DCF_Template2" xfId="230" xr:uid="{00000000-0005-0000-0000-0000F6000000}"/>
    <cellStyle name="p_DCF_Template2_1" xfId="231" xr:uid="{00000000-0005-0000-0000-0000F7000000}"/>
    <cellStyle name="p_DCF_VERA" xfId="232" xr:uid="{00000000-0005-0000-0000-0000F8000000}"/>
    <cellStyle name="p_DCF_VERA_1" xfId="233" xr:uid="{00000000-0005-0000-0000-0000F9000000}"/>
    <cellStyle name="p_DCF_VERA_1_Template2" xfId="234" xr:uid="{00000000-0005-0000-0000-0000FA000000}"/>
    <cellStyle name="p_DCF_VERA_aavidmod11.xls Chart 2" xfId="235" xr:uid="{00000000-0005-0000-0000-0000FB000000}"/>
    <cellStyle name="p_DCF_VERA_Model02" xfId="236" xr:uid="{00000000-0005-0000-0000-0000FC000000}"/>
    <cellStyle name="p_DCF_VERA_Template2" xfId="237" xr:uid="{00000000-0005-0000-0000-0000FD000000}"/>
    <cellStyle name="p_DCF_VERA_VERA" xfId="238" xr:uid="{00000000-0005-0000-0000-0000FE000000}"/>
    <cellStyle name="p_DCF_VERA_VERA_1" xfId="239" xr:uid="{00000000-0005-0000-0000-0000FF000000}"/>
    <cellStyle name="p_DCF_VERA_VERA_2" xfId="240" xr:uid="{00000000-0005-0000-0000-000000010000}"/>
    <cellStyle name="p_DCF_VERA_VERA_Template2" xfId="241" xr:uid="{00000000-0005-0000-0000-000001010000}"/>
    <cellStyle name="p_DCF5" xfId="242" xr:uid="{00000000-0005-0000-0000-000002010000}"/>
    <cellStyle name="p_ITC Great Plains Formula 1-12-09a" xfId="243" xr:uid="{00000000-0005-0000-0000-000003010000}"/>
    <cellStyle name="p_ITCM 2010 Template" xfId="244" xr:uid="{00000000-0005-0000-0000-000004010000}"/>
    <cellStyle name="p_ITCMW 2009 Rate" xfId="245" xr:uid="{00000000-0005-0000-0000-000005010000}"/>
    <cellStyle name="p_ITCMW 2010 Rate_083109" xfId="246" xr:uid="{00000000-0005-0000-0000-000006010000}"/>
    <cellStyle name="p_ITCOP 2010 Rate_083109" xfId="247" xr:uid="{00000000-0005-0000-0000-000007010000}"/>
    <cellStyle name="p_ITCT 2009 Rate" xfId="248" xr:uid="{00000000-0005-0000-0000-000008010000}"/>
    <cellStyle name="p_ITCT New 2010 Attachment O &amp; GG_111209NL" xfId="249" xr:uid="{00000000-0005-0000-0000-000009010000}"/>
    <cellStyle name="p_METC 2010 Rate_083109" xfId="250" xr:uid="{00000000-0005-0000-0000-00000A010000}"/>
    <cellStyle name="p_Template2" xfId="251" xr:uid="{00000000-0005-0000-0000-00000B010000}"/>
    <cellStyle name="p_Template2_1" xfId="252" xr:uid="{00000000-0005-0000-0000-00000C010000}"/>
    <cellStyle name="p_VERA" xfId="253" xr:uid="{00000000-0005-0000-0000-00000D010000}"/>
    <cellStyle name="p_VERA_1" xfId="254" xr:uid="{00000000-0005-0000-0000-00000E010000}"/>
    <cellStyle name="p_VERA_1_Template2" xfId="255" xr:uid="{00000000-0005-0000-0000-00000F010000}"/>
    <cellStyle name="p_VERA_aavidmod11.xls Chart 2" xfId="256" xr:uid="{00000000-0005-0000-0000-000010010000}"/>
    <cellStyle name="p_VERA_Model02" xfId="257" xr:uid="{00000000-0005-0000-0000-000011010000}"/>
    <cellStyle name="p_VERA_Template2" xfId="258" xr:uid="{00000000-0005-0000-0000-000012010000}"/>
    <cellStyle name="p_VERA_VERA" xfId="259" xr:uid="{00000000-0005-0000-0000-000013010000}"/>
    <cellStyle name="p_VERA_VERA_1" xfId="260" xr:uid="{00000000-0005-0000-0000-000014010000}"/>
    <cellStyle name="p_VERA_VERA_2" xfId="261" xr:uid="{00000000-0005-0000-0000-000015010000}"/>
    <cellStyle name="p_VERA_VERA_Template2" xfId="262" xr:uid="{00000000-0005-0000-0000-000016010000}"/>
    <cellStyle name="p1" xfId="263" xr:uid="{00000000-0005-0000-0000-000017010000}"/>
    <cellStyle name="p2" xfId="264" xr:uid="{00000000-0005-0000-0000-000018010000}"/>
    <cellStyle name="p3" xfId="265" xr:uid="{00000000-0005-0000-0000-000019010000}"/>
    <cellStyle name="Percent" xfId="266" builtinId="5"/>
    <cellStyle name="Percent %" xfId="267" xr:uid="{00000000-0005-0000-0000-00001B010000}"/>
    <cellStyle name="Percent % Long Underline" xfId="268" xr:uid="{00000000-0005-0000-0000-00001C010000}"/>
    <cellStyle name="Percent (0)" xfId="269" xr:uid="{00000000-0005-0000-0000-00001D010000}"/>
    <cellStyle name="Percent [0]" xfId="270" xr:uid="{00000000-0005-0000-0000-00001E010000}"/>
    <cellStyle name="Percent [1]" xfId="271" xr:uid="{00000000-0005-0000-0000-00001F010000}"/>
    <cellStyle name="Percent [2]" xfId="272" xr:uid="{00000000-0005-0000-0000-000020010000}"/>
    <cellStyle name="Percent [3]" xfId="273" xr:uid="{00000000-0005-0000-0000-000021010000}"/>
    <cellStyle name="Percent 0.0%" xfId="274" xr:uid="{00000000-0005-0000-0000-000022010000}"/>
    <cellStyle name="Percent 0.0% Long Underline" xfId="275" xr:uid="{00000000-0005-0000-0000-000023010000}"/>
    <cellStyle name="Percent 0.00%" xfId="276" xr:uid="{00000000-0005-0000-0000-000024010000}"/>
    <cellStyle name="Percent 0.00% Long Underline" xfId="277" xr:uid="{00000000-0005-0000-0000-000025010000}"/>
    <cellStyle name="Percent 0.000%" xfId="278" xr:uid="{00000000-0005-0000-0000-000026010000}"/>
    <cellStyle name="Percent 0.000% Long Underline" xfId="279" xr:uid="{00000000-0005-0000-0000-000027010000}"/>
    <cellStyle name="Percent 0.0000%" xfId="280" xr:uid="{00000000-0005-0000-0000-000028010000}"/>
    <cellStyle name="Percent 0.0000% Long Underline" xfId="281" xr:uid="{00000000-0005-0000-0000-000029010000}"/>
    <cellStyle name="Percent 10" xfId="408" xr:uid="{12B21656-517A-49E7-9007-2762C81B63D0}"/>
    <cellStyle name="Percent 11" xfId="409" xr:uid="{8D49C140-A9FB-4B95-B78A-6A368620C717}"/>
    <cellStyle name="Percent 11 2" xfId="429" xr:uid="{4B6F6CA2-CD84-4F5D-9139-629FB96732CE}"/>
    <cellStyle name="Percent 11 3" xfId="483" xr:uid="{527C3990-3C40-4CB6-8B3D-7376CDC1C424}"/>
    <cellStyle name="Percent 12" xfId="480" xr:uid="{F4181D48-B06B-4AA0-BD30-D4D3ADA0EE12}"/>
    <cellStyle name="Percent 2" xfId="282" xr:uid="{00000000-0005-0000-0000-00002A010000}"/>
    <cellStyle name="Percent 2 2" xfId="283" xr:uid="{00000000-0005-0000-0000-00002B010000}"/>
    <cellStyle name="Percent 2 2 2" xfId="407" xr:uid="{21F21245-F044-4A15-BFDB-732AED2ECECA}"/>
    <cellStyle name="Percent 2 3" xfId="446" xr:uid="{FAD63AE5-EC18-43F6-B840-8A7E239683F5}"/>
    <cellStyle name="Percent 3" xfId="284" xr:uid="{00000000-0005-0000-0000-00002C010000}"/>
    <cellStyle name="Percent 3 2" xfId="285" xr:uid="{00000000-0005-0000-0000-00002D010000}"/>
    <cellStyle name="Percent 4" xfId="286" xr:uid="{00000000-0005-0000-0000-00002E010000}"/>
    <cellStyle name="Percent 5" xfId="287" xr:uid="{00000000-0005-0000-0000-00002F010000}"/>
    <cellStyle name="Percent 6" xfId="288" xr:uid="{00000000-0005-0000-0000-000030010000}"/>
    <cellStyle name="Percent 7" xfId="289" xr:uid="{00000000-0005-0000-0000-000031010000}"/>
    <cellStyle name="Percent 8" xfId="413" xr:uid="{C4935AA7-43F4-46C3-AB48-CA57BA2F5EBC}"/>
    <cellStyle name="Percent 8 2" xfId="386" xr:uid="{70B09C38-DA10-4D10-9DCF-F11C0A51A886}"/>
    <cellStyle name="Percent 8 2 2" xfId="419" xr:uid="{7B5344E0-DA1E-4CA7-8D60-B4E7637B9E08}"/>
    <cellStyle name="Percent 8 2 2 2" xfId="472" xr:uid="{3D7E318B-C0AC-4EE0-BD1C-4FD01061918B}"/>
    <cellStyle name="Percent 9" xfId="399" xr:uid="{30B6D19D-6AC8-470F-A8D4-E51256847510}"/>
    <cellStyle name="Percent 9 2" xfId="424" xr:uid="{2677BA2D-A432-462C-9F1A-CB6C2DE36B8C}"/>
    <cellStyle name="Percent 9 3" xfId="438" xr:uid="{23E1E689-DFEF-4DEC-B43A-5EABDF9FCFE5}"/>
    <cellStyle name="Percent 9 4" xfId="479" xr:uid="{87AE147B-F464-451C-A998-C22254874EB8}"/>
    <cellStyle name="Percent Input" xfId="290" xr:uid="{00000000-0005-0000-0000-000032010000}"/>
    <cellStyle name="Percent0" xfId="291" xr:uid="{00000000-0005-0000-0000-000033010000}"/>
    <cellStyle name="Percent1" xfId="292" xr:uid="{00000000-0005-0000-0000-000034010000}"/>
    <cellStyle name="Percent2" xfId="293" xr:uid="{00000000-0005-0000-0000-000035010000}"/>
    <cellStyle name="PSChar" xfId="294" xr:uid="{00000000-0005-0000-0000-000036010000}"/>
    <cellStyle name="PSDate" xfId="295" xr:uid="{00000000-0005-0000-0000-000037010000}"/>
    <cellStyle name="PSDec" xfId="296" xr:uid="{00000000-0005-0000-0000-000038010000}"/>
    <cellStyle name="PSdesc" xfId="297" xr:uid="{00000000-0005-0000-0000-000039010000}"/>
    <cellStyle name="PSHeading" xfId="298" xr:uid="{00000000-0005-0000-0000-00003A010000}"/>
    <cellStyle name="PSInt" xfId="299" xr:uid="{00000000-0005-0000-0000-00003B010000}"/>
    <cellStyle name="PSSpacer" xfId="300" xr:uid="{00000000-0005-0000-0000-00003C010000}"/>
    <cellStyle name="PStest" xfId="301" xr:uid="{00000000-0005-0000-0000-00003D010000}"/>
    <cellStyle name="R00A" xfId="302" xr:uid="{00000000-0005-0000-0000-00003E010000}"/>
    <cellStyle name="R00B" xfId="303" xr:uid="{00000000-0005-0000-0000-00003F010000}"/>
    <cellStyle name="R00L" xfId="304" xr:uid="{00000000-0005-0000-0000-000040010000}"/>
    <cellStyle name="R01A" xfId="305" xr:uid="{00000000-0005-0000-0000-000041010000}"/>
    <cellStyle name="R01B" xfId="306" xr:uid="{00000000-0005-0000-0000-000042010000}"/>
    <cellStyle name="R01H" xfId="307" xr:uid="{00000000-0005-0000-0000-000043010000}"/>
    <cellStyle name="R01L" xfId="308" xr:uid="{00000000-0005-0000-0000-000044010000}"/>
    <cellStyle name="R02A" xfId="309" xr:uid="{00000000-0005-0000-0000-000045010000}"/>
    <cellStyle name="R02B" xfId="310" xr:uid="{00000000-0005-0000-0000-000046010000}"/>
    <cellStyle name="R02H" xfId="311" xr:uid="{00000000-0005-0000-0000-000047010000}"/>
    <cellStyle name="R02L" xfId="312" xr:uid="{00000000-0005-0000-0000-000048010000}"/>
    <cellStyle name="R03A" xfId="313" xr:uid="{00000000-0005-0000-0000-000049010000}"/>
    <cellStyle name="R03B" xfId="314" xr:uid="{00000000-0005-0000-0000-00004A010000}"/>
    <cellStyle name="R03H" xfId="315" xr:uid="{00000000-0005-0000-0000-00004B010000}"/>
    <cellStyle name="R03L" xfId="316" xr:uid="{00000000-0005-0000-0000-00004C010000}"/>
    <cellStyle name="R04A" xfId="317" xr:uid="{00000000-0005-0000-0000-00004D010000}"/>
    <cellStyle name="R04B" xfId="318" xr:uid="{00000000-0005-0000-0000-00004E010000}"/>
    <cellStyle name="R04H" xfId="319" xr:uid="{00000000-0005-0000-0000-00004F010000}"/>
    <cellStyle name="R04L" xfId="320" xr:uid="{00000000-0005-0000-0000-000050010000}"/>
    <cellStyle name="R05A" xfId="321" xr:uid="{00000000-0005-0000-0000-000051010000}"/>
    <cellStyle name="R05B" xfId="322" xr:uid="{00000000-0005-0000-0000-000052010000}"/>
    <cellStyle name="R05H" xfId="323" xr:uid="{00000000-0005-0000-0000-000053010000}"/>
    <cellStyle name="R05L" xfId="324" xr:uid="{00000000-0005-0000-0000-000054010000}"/>
    <cellStyle name="R05L 2" xfId="325" xr:uid="{00000000-0005-0000-0000-000055010000}"/>
    <cellStyle name="R06A" xfId="326" xr:uid="{00000000-0005-0000-0000-000056010000}"/>
    <cellStyle name="R06B" xfId="327" xr:uid="{00000000-0005-0000-0000-000057010000}"/>
    <cellStyle name="R06H" xfId="328" xr:uid="{00000000-0005-0000-0000-000058010000}"/>
    <cellStyle name="R06L" xfId="329" xr:uid="{00000000-0005-0000-0000-000059010000}"/>
    <cellStyle name="R07A" xfId="330" xr:uid="{00000000-0005-0000-0000-00005A010000}"/>
    <cellStyle name="R07B" xfId="331" xr:uid="{00000000-0005-0000-0000-00005B010000}"/>
    <cellStyle name="R07H" xfId="332" xr:uid="{00000000-0005-0000-0000-00005C010000}"/>
    <cellStyle name="R07L" xfId="333" xr:uid="{00000000-0005-0000-0000-00005D010000}"/>
    <cellStyle name="rborder" xfId="334" xr:uid="{00000000-0005-0000-0000-00005E010000}"/>
    <cellStyle name="red" xfId="335" xr:uid="{00000000-0005-0000-0000-00005F010000}"/>
    <cellStyle name="s_HardInc " xfId="336" xr:uid="{00000000-0005-0000-0000-000060010000}"/>
    <cellStyle name="s_HardInc _ITC Great Plains Formula 1-12-09a" xfId="337" xr:uid="{00000000-0005-0000-0000-000061010000}"/>
    <cellStyle name="SAPHierarchyCell4" xfId="396" xr:uid="{3C82D041-4ADD-454B-B7A6-0C70D04FE2A6}"/>
    <cellStyle name="scenario" xfId="338" xr:uid="{00000000-0005-0000-0000-000062010000}"/>
    <cellStyle name="SECTION" xfId="339" xr:uid="{00000000-0005-0000-0000-000063010000}"/>
    <cellStyle name="Sheetmult" xfId="340" xr:uid="{00000000-0005-0000-0000-000064010000}"/>
    <cellStyle name="Shtmultx" xfId="341" xr:uid="{00000000-0005-0000-0000-000065010000}"/>
    <cellStyle name="Style 1" xfId="342" xr:uid="{00000000-0005-0000-0000-000066010000}"/>
    <cellStyle name="STYLE1" xfId="343" xr:uid="{00000000-0005-0000-0000-000067010000}"/>
    <cellStyle name="STYLE2" xfId="344" xr:uid="{00000000-0005-0000-0000-000068010000}"/>
    <cellStyle name="SubHeader" xfId="448" xr:uid="{C8D32B6D-C5FD-4CD4-A85D-20F3B48A9D0F}"/>
    <cellStyle name="SubTotalNumber" xfId="453" xr:uid="{26121D4D-8404-4A80-9293-EC9EF13196B6}"/>
    <cellStyle name="System Defined" xfId="345" xr:uid="{00000000-0005-0000-0000-000069010000}"/>
    <cellStyle name="Table (Normal)" xfId="461" xr:uid="{8AE600F5-B1D4-4521-9D7F-CA1950E30058}"/>
    <cellStyle name="TableHeading" xfId="346" xr:uid="{00000000-0005-0000-0000-00006A010000}"/>
    <cellStyle name="tb" xfId="347" xr:uid="{00000000-0005-0000-0000-00006B010000}"/>
    <cellStyle name="TextNumber" xfId="452" xr:uid="{8DD0A89F-C65E-45DE-914B-2C35A2025286}"/>
    <cellStyle name="TextRate" xfId="456" xr:uid="{E2C29F41-494A-4456-AEE1-C7C258687C1D}"/>
    <cellStyle name="Tickmark" xfId="348" xr:uid="{00000000-0005-0000-0000-00006C010000}"/>
    <cellStyle name="Title1" xfId="349" xr:uid="{00000000-0005-0000-0000-00006D010000}"/>
    <cellStyle name="top" xfId="350" xr:uid="{00000000-0005-0000-0000-00006E010000}"/>
    <cellStyle name="Total" xfId="351" builtinId="25" customBuiltin="1"/>
    <cellStyle name="TotalNumber" xfId="454" xr:uid="{7E51F638-8E35-4C3A-B122-F0172B852149}"/>
    <cellStyle name="TotalText" xfId="455" xr:uid="{2B09F343-2FC3-43C1-BB8A-AD11E7BC8E85}"/>
    <cellStyle name="UnitHeader" xfId="449" xr:uid="{A9ADCADB-2100-40E3-9F77-9A5362557810}"/>
    <cellStyle name="w" xfId="352" xr:uid="{00000000-0005-0000-0000-000070010000}"/>
    <cellStyle name="XComma" xfId="353" xr:uid="{00000000-0005-0000-0000-000071010000}"/>
    <cellStyle name="XComma 0.0" xfId="354" xr:uid="{00000000-0005-0000-0000-000072010000}"/>
    <cellStyle name="XComma 0.00" xfId="355" xr:uid="{00000000-0005-0000-0000-000073010000}"/>
    <cellStyle name="XComma 0.000" xfId="356" xr:uid="{00000000-0005-0000-0000-000074010000}"/>
    <cellStyle name="XCurrency" xfId="357" xr:uid="{00000000-0005-0000-0000-000075010000}"/>
    <cellStyle name="XCurrency 0.0" xfId="358" xr:uid="{00000000-0005-0000-0000-000076010000}"/>
    <cellStyle name="XCurrency 0.00" xfId="359" xr:uid="{00000000-0005-0000-0000-000077010000}"/>
    <cellStyle name="XCurrency 0.000" xfId="360" xr:uid="{00000000-0005-0000-0000-000078010000}"/>
    <cellStyle name="yra" xfId="361" xr:uid="{00000000-0005-0000-0000-000079010000}"/>
    <cellStyle name="yrActual" xfId="362" xr:uid="{00000000-0005-0000-0000-00007A010000}"/>
    <cellStyle name="yre" xfId="363" xr:uid="{00000000-0005-0000-0000-00007B010000}"/>
    <cellStyle name="yrExpect" xfId="364" xr:uid="{00000000-0005-0000-0000-00007C010000}"/>
  </cellStyles>
  <dxfs count="2">
    <dxf>
      <fill>
        <patternFill patternType="solid">
          <bgColor rgb="FFFFFFFF"/>
        </patternFill>
      </fill>
    </dxf>
    <dxf>
      <fill>
        <patternFill patternType="solid">
          <bgColor rgb="FFCCEEFF"/>
        </patternFill>
      </fill>
    </dxf>
  </dxfs>
  <tableStyles count="1" defaultTableStyle="TableStyleMedium2" defaultPivotStyle="PivotStyleLight16">
    <tableStyle name="tableStyle1" pivot="0" count="2" xr9:uid="{9D38FF59-509A-4BBA-B0D5-96EC07B60DB9}">
      <tableStyleElement type="firstRowStripe" dxfId="1"/>
      <tableStyleElement type="secondRowStripe" dxfId="0"/>
    </tableStyle>
  </tableStyles>
  <colors>
    <mruColors>
      <color rgb="FFFFFF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819150</xdr:colOff>
          <xdr:row>15</xdr:row>
          <xdr:rowOff>107950</xdr:rowOff>
        </xdr:from>
        <xdr:to>
          <xdr:col>4</xdr:col>
          <xdr:colOff>88900</xdr:colOff>
          <xdr:row>19</xdr:row>
          <xdr:rowOff>88900</xdr:rowOff>
        </xdr:to>
        <xdr:sp macro="" textlink="">
          <xdr:nvSpPr>
            <xdr:cNvPr id="37890" name="Object 2" hidden="1">
              <a:extLst>
                <a:ext uri="{63B3BB69-23CF-44E3-9099-C40C66FF867C}">
                  <a14:compatExt spid="_x0000_s37890"/>
                </a:ext>
                <a:ext uri="{FF2B5EF4-FFF2-40B4-BE49-F238E27FC236}">
                  <a16:creationId xmlns:a16="http://schemas.microsoft.com/office/drawing/2014/main" id="{00000000-0008-0000-0E00-0000029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16</xdr:col>
      <xdr:colOff>0</xdr:colOff>
      <xdr:row>13</xdr:row>
      <xdr:rowOff>0</xdr:rowOff>
    </xdr:from>
    <xdr:to>
      <xdr:col>38</xdr:col>
      <xdr:colOff>401890</xdr:colOff>
      <xdr:row>24</xdr:row>
      <xdr:rowOff>143187</xdr:rowOff>
    </xdr:to>
    <xdr:pic>
      <xdr:nvPicPr>
        <xdr:cNvPr id="2" name="Picture 1">
          <a:extLst>
            <a:ext uri="{FF2B5EF4-FFF2-40B4-BE49-F238E27FC236}">
              <a16:creationId xmlns:a16="http://schemas.microsoft.com/office/drawing/2014/main" id="{813098C0-D4BA-4204-BFC1-5F1C459E9EE7}"/>
            </a:ext>
          </a:extLst>
        </xdr:cNvPr>
        <xdr:cNvPicPr>
          <a:picLocks noChangeAspect="1"/>
        </xdr:cNvPicPr>
      </xdr:nvPicPr>
      <xdr:blipFill>
        <a:blip xmlns:r="http://schemas.openxmlformats.org/officeDocument/2006/relationships" r:embed="rId1"/>
        <a:stretch>
          <a:fillRect/>
        </a:stretch>
      </xdr:blipFill>
      <xdr:spPr>
        <a:xfrm>
          <a:off x="19516725" y="2162175"/>
          <a:ext cx="13184440" cy="2238687"/>
        </a:xfrm>
        <a:prstGeom prst="rect">
          <a:avLst/>
        </a:prstGeom>
      </xdr:spPr>
    </xdr:pic>
    <xdr:clientData/>
  </xdr:twoCellAnchor>
  <xdr:twoCellAnchor editAs="oneCell">
    <xdr:from>
      <xdr:col>16</xdr:col>
      <xdr:colOff>0</xdr:colOff>
      <xdr:row>29</xdr:row>
      <xdr:rowOff>0</xdr:rowOff>
    </xdr:from>
    <xdr:to>
      <xdr:col>39</xdr:col>
      <xdr:colOff>20918</xdr:colOff>
      <xdr:row>37</xdr:row>
      <xdr:rowOff>124055</xdr:rowOff>
    </xdr:to>
    <xdr:pic>
      <xdr:nvPicPr>
        <xdr:cNvPr id="3" name="Picture 2">
          <a:extLst>
            <a:ext uri="{FF2B5EF4-FFF2-40B4-BE49-F238E27FC236}">
              <a16:creationId xmlns:a16="http://schemas.microsoft.com/office/drawing/2014/main" id="{B1B26DED-0DB8-4B74-85D6-C018B369A899}"/>
            </a:ext>
          </a:extLst>
        </xdr:cNvPr>
        <xdr:cNvPicPr>
          <a:picLocks noChangeAspect="1"/>
        </xdr:cNvPicPr>
      </xdr:nvPicPr>
      <xdr:blipFill>
        <a:blip xmlns:r="http://schemas.openxmlformats.org/officeDocument/2006/relationships" r:embed="rId2"/>
        <a:stretch>
          <a:fillRect/>
        </a:stretch>
      </xdr:blipFill>
      <xdr:spPr>
        <a:xfrm>
          <a:off x="19516725" y="5210175"/>
          <a:ext cx="13384493" cy="1648055"/>
        </a:xfrm>
        <a:prstGeom prst="rect">
          <a:avLst/>
        </a:prstGeom>
      </xdr:spPr>
    </xdr:pic>
    <xdr:clientData/>
  </xdr:twoCellAnchor>
  <xdr:twoCellAnchor editAs="oneCell">
    <xdr:from>
      <xdr:col>16</xdr:col>
      <xdr:colOff>0</xdr:colOff>
      <xdr:row>40</xdr:row>
      <xdr:rowOff>0</xdr:rowOff>
    </xdr:from>
    <xdr:to>
      <xdr:col>27</xdr:col>
      <xdr:colOff>209550</xdr:colOff>
      <xdr:row>45</xdr:row>
      <xdr:rowOff>114300</xdr:rowOff>
    </xdr:to>
    <xdr:pic>
      <xdr:nvPicPr>
        <xdr:cNvPr id="4" name="Picture 3">
          <a:extLst>
            <a:ext uri="{FF2B5EF4-FFF2-40B4-BE49-F238E27FC236}">
              <a16:creationId xmlns:a16="http://schemas.microsoft.com/office/drawing/2014/main" id="{023B1618-F65E-49B1-A9BC-762A616C6F2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516725" y="7305675"/>
          <a:ext cx="6600825"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1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5.bin"/><Relationship Id="rId1" Type="http://schemas.openxmlformats.org/officeDocument/2006/relationships/printerSettings" Target="../printerSettings/printerSettings20.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8.bin"/><Relationship Id="rId1" Type="http://schemas.openxmlformats.org/officeDocument/2006/relationships/printerSettings" Target="../printerSettings/printerSettings23.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M279"/>
  <sheetViews>
    <sheetView tabSelected="1" zoomScaleNormal="100" workbookViewId="0"/>
  </sheetViews>
  <sheetFormatPr defaultColWidth="8.84375" defaultRowHeight="13"/>
  <cols>
    <col min="1" max="1" width="5.765625" style="15" customWidth="1"/>
    <col min="2" max="2" width="56" style="15" customWidth="1"/>
    <col min="3" max="3" width="47.4609375" style="15" bestFit="1" customWidth="1"/>
    <col min="4" max="4" width="16.3046875" style="15" customWidth="1"/>
    <col min="5" max="5" width="5.765625" style="15" customWidth="1"/>
    <col min="6" max="6" width="7.3046875" style="15" customWidth="1"/>
    <col min="7" max="7" width="16.765625" style="15" customWidth="1"/>
    <col min="8" max="8" width="4.84375" style="15" customWidth="1"/>
    <col min="9" max="9" width="16.3046875" style="15" customWidth="1"/>
    <col min="10" max="10" width="2.69140625" style="15" customWidth="1"/>
    <col min="11" max="11" width="11.4609375" style="15" customWidth="1"/>
    <col min="12" max="12" width="14.4609375" style="15" bestFit="1" customWidth="1"/>
    <col min="13" max="13" width="14.69140625" style="15" bestFit="1" customWidth="1"/>
    <col min="14" max="16384" width="8.84375" style="15"/>
  </cols>
  <sheetData>
    <row r="1" spans="1:11">
      <c r="A1" s="41"/>
      <c r="B1" s="41"/>
      <c r="C1" s="41"/>
      <c r="D1" s="41"/>
      <c r="E1" s="41"/>
      <c r="F1" s="41"/>
      <c r="G1" s="41"/>
      <c r="H1" s="41"/>
      <c r="I1" s="41"/>
      <c r="J1" s="41"/>
      <c r="K1" s="132" t="s">
        <v>175</v>
      </c>
    </row>
    <row r="2" spans="1:11">
      <c r="A2" s="41"/>
      <c r="B2" s="41" t="s">
        <v>507</v>
      </c>
      <c r="C2" s="41"/>
      <c r="D2" s="41"/>
      <c r="E2" s="41"/>
      <c r="F2" s="41"/>
      <c r="G2" s="41"/>
      <c r="H2" s="41"/>
      <c r="I2" s="41"/>
      <c r="J2" s="41"/>
      <c r="K2" s="41"/>
    </row>
    <row r="3" spans="1:11">
      <c r="A3" s="33"/>
      <c r="B3" s="27" t="s">
        <v>9</v>
      </c>
      <c r="C3" s="226" t="str">
        <f>+'Attachment H'!D5</f>
        <v>Gridliance High Plains LLC</v>
      </c>
      <c r="D3" s="133" t="s">
        <v>91</v>
      </c>
      <c r="E3" s="27"/>
      <c r="F3" s="27"/>
      <c r="G3" s="27"/>
      <c r="H3" s="27"/>
      <c r="I3" s="134"/>
      <c r="J3" s="135"/>
      <c r="K3" s="21" t="s">
        <v>1274</v>
      </c>
    </row>
    <row r="4" spans="1:11">
      <c r="A4" s="33"/>
      <c r="C4" s="28"/>
      <c r="D4" s="31" t="s">
        <v>160</v>
      </c>
      <c r="E4" s="28"/>
      <c r="F4" s="28"/>
      <c r="G4" s="28"/>
      <c r="H4" s="27"/>
      <c r="I4" s="27"/>
      <c r="J4" s="30"/>
      <c r="K4" s="30"/>
    </row>
    <row r="5" spans="1:11" ht="15.5">
      <c r="A5" s="33"/>
      <c r="B5" s="136"/>
      <c r="C5" s="30"/>
      <c r="D5" s="370" t="s">
        <v>1098</v>
      </c>
      <c r="E5" s="30"/>
      <c r="F5" s="30"/>
      <c r="G5" s="30"/>
      <c r="H5" s="30"/>
      <c r="I5" s="30"/>
      <c r="J5" s="30"/>
      <c r="K5" s="30"/>
    </row>
    <row r="6" spans="1:11" ht="13.5">
      <c r="B6" s="136"/>
      <c r="J6" s="137"/>
      <c r="K6" s="137"/>
    </row>
    <row r="7" spans="1:11">
      <c r="A7" s="133"/>
      <c r="C7" s="30"/>
      <c r="D7" s="138"/>
      <c r="E7" s="30"/>
      <c r="F7" s="30"/>
      <c r="G7" s="30"/>
      <c r="H7" s="30"/>
      <c r="I7" s="30"/>
      <c r="J7" s="30"/>
      <c r="K7" s="30"/>
    </row>
    <row r="8" spans="1:11">
      <c r="A8" s="133"/>
      <c r="B8" s="139" t="s">
        <v>11</v>
      </c>
      <c r="C8" s="139" t="s">
        <v>12</v>
      </c>
      <c r="D8" s="139" t="s">
        <v>13</v>
      </c>
      <c r="E8" s="28" t="s">
        <v>10</v>
      </c>
      <c r="F8" s="28"/>
      <c r="G8" s="138" t="s">
        <v>14</v>
      </c>
      <c r="H8" s="28"/>
      <c r="I8" s="138" t="s">
        <v>15</v>
      </c>
      <c r="J8" s="30"/>
      <c r="K8" s="30"/>
    </row>
    <row r="9" spans="1:11">
      <c r="A9" s="133" t="s">
        <v>16</v>
      </c>
      <c r="B9" s="30"/>
      <c r="C9" s="30"/>
      <c r="D9" s="137"/>
      <c r="E9" s="30"/>
      <c r="F9" s="30"/>
      <c r="G9" s="30"/>
      <c r="H9" s="30"/>
      <c r="I9" s="133" t="s">
        <v>17</v>
      </c>
      <c r="J9" s="30"/>
      <c r="K9" s="30"/>
    </row>
    <row r="10" spans="1:11" ht="13.5" thickBot="1">
      <c r="A10" s="32" t="s">
        <v>18</v>
      </c>
      <c r="B10" s="30"/>
      <c r="C10" s="30"/>
      <c r="D10" s="30"/>
      <c r="E10" s="30"/>
      <c r="F10" s="30"/>
      <c r="G10" s="30"/>
      <c r="H10" s="30"/>
      <c r="I10" s="32" t="s">
        <v>19</v>
      </c>
      <c r="J10" s="30"/>
      <c r="K10" s="30"/>
    </row>
    <row r="11" spans="1:11">
      <c r="A11" s="133">
        <v>1</v>
      </c>
      <c r="B11" s="30" t="s">
        <v>318</v>
      </c>
      <c r="C11" s="30" t="s">
        <v>317</v>
      </c>
      <c r="D11" s="28"/>
      <c r="E11" s="30"/>
      <c r="F11" s="30"/>
      <c r="G11" s="30"/>
      <c r="H11" s="30"/>
      <c r="I11" s="140">
        <f>+I172</f>
        <v>2920386.3817956201</v>
      </c>
      <c r="J11" s="30"/>
      <c r="K11" s="140"/>
    </row>
    <row r="12" spans="1:11">
      <c r="A12" s="133"/>
      <c r="B12" s="30"/>
      <c r="C12" s="30"/>
      <c r="D12" s="30"/>
      <c r="E12" s="30"/>
      <c r="F12" s="30"/>
      <c r="G12" s="30"/>
      <c r="H12" s="30"/>
      <c r="I12" s="28"/>
      <c r="J12" s="30"/>
      <c r="K12" s="872"/>
    </row>
    <row r="13" spans="1:11" ht="13.5" thickBot="1">
      <c r="A13" s="133" t="s">
        <v>10</v>
      </c>
      <c r="B13" s="30" t="s">
        <v>20</v>
      </c>
      <c r="C13" s="28" t="s">
        <v>319</v>
      </c>
      <c r="D13" s="32" t="s">
        <v>21</v>
      </c>
      <c r="E13" s="28"/>
      <c r="F13" s="141" t="s">
        <v>22</v>
      </c>
      <c r="G13" s="141"/>
      <c r="H13" s="30"/>
      <c r="I13" s="28"/>
      <c r="J13" s="30"/>
      <c r="K13" s="30"/>
    </row>
    <row r="14" spans="1:11">
      <c r="A14" s="133">
        <f>+A11+1</f>
        <v>2</v>
      </c>
      <c r="B14" s="30" t="s">
        <v>176</v>
      </c>
      <c r="C14" s="28" t="str">
        <f>"(page 4, line "&amp;A222&amp;")"</f>
        <v>(page 4, line 29)</v>
      </c>
      <c r="D14" s="178">
        <f>I222</f>
        <v>0</v>
      </c>
      <c r="E14" s="28"/>
      <c r="F14" s="28" t="s">
        <v>23</v>
      </c>
      <c r="G14" s="26">
        <f>I191</f>
        <v>1</v>
      </c>
      <c r="H14" s="39"/>
      <c r="I14" s="18">
        <f>+G14*D14</f>
        <v>0</v>
      </c>
      <c r="J14" s="30"/>
      <c r="K14" s="30"/>
    </row>
    <row r="15" spans="1:11">
      <c r="A15" s="133">
        <f>+A14+1</f>
        <v>3</v>
      </c>
      <c r="B15" s="30" t="s">
        <v>177</v>
      </c>
      <c r="C15" s="28" t="str">
        <f>"(page 4, line "&amp;A227&amp;")"</f>
        <v>(page 4, line 33)</v>
      </c>
      <c r="D15" s="178">
        <f>I227</f>
        <v>71271.470000000016</v>
      </c>
      <c r="E15" s="28"/>
      <c r="F15" s="28" t="s">
        <v>23</v>
      </c>
      <c r="G15" s="26">
        <f>+G14</f>
        <v>1</v>
      </c>
      <c r="H15" s="39"/>
      <c r="I15" s="18">
        <f>+G15*D15</f>
        <v>71271.470000000016</v>
      </c>
      <c r="J15" s="30"/>
      <c r="K15" s="30"/>
    </row>
    <row r="16" spans="1:11">
      <c r="A16" s="133">
        <f>+A15+1</f>
        <v>4</v>
      </c>
      <c r="B16" s="30" t="s">
        <v>273</v>
      </c>
      <c r="C16" s="28" t="s">
        <v>868</v>
      </c>
      <c r="D16" s="178">
        <f>+'5-P3 Support'!G68</f>
        <v>0</v>
      </c>
      <c r="E16" s="28"/>
      <c r="F16" s="28" t="s">
        <v>23</v>
      </c>
      <c r="G16" s="26">
        <f>+G15</f>
        <v>1</v>
      </c>
      <c r="H16" s="39"/>
      <c r="I16" s="18">
        <f>+D16*G16</f>
        <v>0</v>
      </c>
      <c r="J16" s="30"/>
      <c r="K16" s="30"/>
    </row>
    <row r="17" spans="1:13">
      <c r="A17" s="133">
        <f>+A16+1</f>
        <v>5</v>
      </c>
      <c r="B17" s="28" t="s">
        <v>419</v>
      </c>
      <c r="C17" s="143" t="s">
        <v>313</v>
      </c>
      <c r="D17" s="178">
        <v>0</v>
      </c>
      <c r="E17" s="28"/>
      <c r="F17" s="28" t="s">
        <v>23</v>
      </c>
      <c r="G17" s="26">
        <f>+G15</f>
        <v>1</v>
      </c>
      <c r="H17" s="39"/>
      <c r="I17" s="18">
        <f>+G17*D17</f>
        <v>0</v>
      </c>
      <c r="J17" s="30"/>
      <c r="K17" s="30"/>
    </row>
    <row r="18" spans="1:13" ht="13.5" thickBot="1">
      <c r="A18" s="133">
        <f>+A17+1</f>
        <v>6</v>
      </c>
      <c r="B18" s="28" t="s">
        <v>178</v>
      </c>
      <c r="C18" s="143"/>
      <c r="D18" s="178">
        <v>0</v>
      </c>
      <c r="E18" s="28"/>
      <c r="F18" s="28" t="s">
        <v>23</v>
      </c>
      <c r="G18" s="26">
        <f>+G17</f>
        <v>1</v>
      </c>
      <c r="H18" s="39"/>
      <c r="I18" s="169">
        <f>+G18*D18</f>
        <v>0</v>
      </c>
      <c r="J18" s="30"/>
      <c r="K18" s="30"/>
    </row>
    <row r="19" spans="1:13">
      <c r="A19" s="133">
        <f>+A18+1</f>
        <v>7</v>
      </c>
      <c r="B19" s="30" t="s">
        <v>340</v>
      </c>
      <c r="C19" s="30" t="s">
        <v>339</v>
      </c>
      <c r="D19" s="861">
        <f>SUM(D14:D18)</f>
        <v>71271.470000000016</v>
      </c>
      <c r="E19" s="28"/>
      <c r="F19" s="28"/>
      <c r="G19" s="40"/>
      <c r="H19" s="39"/>
      <c r="I19" s="18">
        <f>SUM(I14:I18)</f>
        <v>71271.470000000016</v>
      </c>
      <c r="J19" s="30"/>
      <c r="K19" s="30"/>
    </row>
    <row r="20" spans="1:13">
      <c r="A20" s="133"/>
      <c r="B20" s="33"/>
      <c r="C20" s="30"/>
      <c r="D20" s="862" t="s">
        <v>10</v>
      </c>
      <c r="E20" s="30"/>
      <c r="F20" s="30"/>
      <c r="G20" s="144"/>
      <c r="H20" s="30"/>
      <c r="I20" s="33"/>
      <c r="J20" s="30"/>
      <c r="K20" s="30"/>
    </row>
    <row r="21" spans="1:13" ht="13.5" thickBot="1">
      <c r="A21" s="133">
        <f>+A19+1</f>
        <v>8</v>
      </c>
      <c r="B21" s="30" t="s">
        <v>24</v>
      </c>
      <c r="C21" s="30" t="s">
        <v>320</v>
      </c>
      <c r="D21" s="863" t="s">
        <v>10</v>
      </c>
      <c r="E21" s="28"/>
      <c r="F21" s="28"/>
      <c r="G21" s="28"/>
      <c r="H21" s="28"/>
      <c r="I21" s="145">
        <f>I11-I19</f>
        <v>2849114.9117956199</v>
      </c>
      <c r="J21" s="30"/>
      <c r="K21" s="30"/>
      <c r="M21" s="146"/>
    </row>
    <row r="22" spans="1:13" ht="13.5" thickTop="1">
      <c r="A22" s="133"/>
      <c r="B22" s="33"/>
      <c r="C22" s="30"/>
      <c r="D22" s="863"/>
      <c r="E22" s="28"/>
      <c r="F22" s="28"/>
      <c r="G22" s="28"/>
      <c r="H22" s="28"/>
      <c r="I22" s="33"/>
      <c r="J22" s="30"/>
      <c r="K22" s="30"/>
      <c r="M22" s="147"/>
    </row>
    <row r="23" spans="1:13">
      <c r="A23" s="148">
        <f>+A21+1</f>
        <v>9</v>
      </c>
      <c r="B23" s="149" t="s">
        <v>161</v>
      </c>
      <c r="C23" s="504" t="s">
        <v>676</v>
      </c>
      <c r="D23" s="178">
        <f>+'3-Project True-up'!K39</f>
        <v>-498463.99192471837</v>
      </c>
      <c r="E23" s="149"/>
      <c r="F23" s="149" t="s">
        <v>97</v>
      </c>
      <c r="G23" s="150">
        <v>1</v>
      </c>
      <c r="H23" s="149"/>
      <c r="I23" s="18">
        <f>+G23*D23</f>
        <v>-498463.99192471837</v>
      </c>
      <c r="K23" s="30"/>
    </row>
    <row r="24" spans="1:13">
      <c r="A24" s="148"/>
      <c r="B24" s="149"/>
      <c r="C24" s="149"/>
      <c r="D24" s="149"/>
      <c r="E24" s="149"/>
      <c r="F24" s="149"/>
      <c r="G24" s="149"/>
      <c r="H24" s="149"/>
      <c r="I24" s="151"/>
      <c r="K24" s="30"/>
    </row>
    <row r="25" spans="1:13" ht="13.5" thickBot="1">
      <c r="A25" s="148">
        <f>+A23+1</f>
        <v>10</v>
      </c>
      <c r="B25" s="149" t="s">
        <v>24</v>
      </c>
      <c r="C25" s="149" t="s">
        <v>321</v>
      </c>
      <c r="D25" s="149"/>
      <c r="E25" s="151"/>
      <c r="F25" s="151"/>
      <c r="G25" s="151"/>
      <c r="H25" s="151"/>
      <c r="I25" s="152">
        <f>+I21+I23</f>
        <v>2350650.9198709014</v>
      </c>
      <c r="K25" s="449"/>
    </row>
    <row r="26" spans="1:13" ht="13.5" thickTop="1">
      <c r="A26" s="133"/>
      <c r="B26" s="28"/>
      <c r="C26" s="30"/>
      <c r="D26" s="30"/>
      <c r="E26" s="30"/>
      <c r="F26" s="33"/>
      <c r="G26" s="27"/>
      <c r="H26" s="30"/>
      <c r="I26" s="28"/>
      <c r="J26" s="30"/>
      <c r="K26" s="30"/>
    </row>
    <row r="27" spans="1:13">
      <c r="A27" s="133"/>
      <c r="B27" s="30"/>
      <c r="C27" s="30"/>
      <c r="D27" s="30"/>
      <c r="E27" s="30"/>
      <c r="F27" s="33"/>
      <c r="G27" s="27"/>
      <c r="H27" s="30"/>
      <c r="I27" s="28"/>
      <c r="J27" s="30"/>
      <c r="K27" s="30"/>
    </row>
    <row r="28" spans="1:13">
      <c r="A28" s="133"/>
      <c r="B28" s="28"/>
      <c r="C28" s="30"/>
      <c r="D28" s="30"/>
      <c r="E28" s="30"/>
      <c r="F28" s="30"/>
      <c r="G28" s="27"/>
      <c r="H28" s="30"/>
      <c r="I28" s="28"/>
      <c r="J28" s="30"/>
      <c r="K28" s="30"/>
    </row>
    <row r="29" spans="1:13">
      <c r="A29" s="133"/>
      <c r="B29" s="28"/>
      <c r="C29" s="30"/>
      <c r="D29" s="30"/>
      <c r="E29" s="30"/>
      <c r="F29" s="30"/>
      <c r="G29" s="27"/>
      <c r="H29" s="30"/>
      <c r="I29" s="28"/>
      <c r="J29" s="30"/>
      <c r="K29" s="30"/>
    </row>
    <row r="30" spans="1:13">
      <c r="A30" s="133"/>
      <c r="B30" s="28"/>
      <c r="C30" s="30"/>
      <c r="D30" s="30"/>
      <c r="E30" s="30"/>
      <c r="F30" s="30"/>
      <c r="G30" s="27"/>
      <c r="H30" s="30"/>
      <c r="I30" s="28"/>
      <c r="J30" s="30"/>
      <c r="K30" s="30"/>
    </row>
    <row r="31" spans="1:13">
      <c r="A31" s="133"/>
      <c r="B31" s="27"/>
      <c r="C31" s="30"/>
      <c r="D31" s="30"/>
      <c r="E31" s="30"/>
      <c r="F31" s="30"/>
      <c r="G31" s="30"/>
      <c r="H31" s="30"/>
      <c r="I31" s="28"/>
      <c r="J31" s="30"/>
      <c r="K31" s="30"/>
    </row>
    <row r="32" spans="1:13">
      <c r="A32" s="133"/>
      <c r="B32" s="30"/>
      <c r="C32" s="30"/>
      <c r="D32" s="30"/>
      <c r="E32" s="30"/>
      <c r="F32" s="30"/>
      <c r="G32" s="30"/>
      <c r="H32" s="30"/>
      <c r="I32" s="28"/>
      <c r="J32" s="30"/>
      <c r="K32" s="30"/>
    </row>
    <row r="33" spans="1:11">
      <c r="A33" s="133"/>
      <c r="B33" s="30"/>
      <c r="C33" s="30"/>
      <c r="D33" s="153"/>
      <c r="E33" s="30"/>
      <c r="F33" s="30"/>
      <c r="G33" s="30"/>
      <c r="H33" s="30"/>
      <c r="I33" s="33"/>
      <c r="J33" s="30"/>
      <c r="K33" s="30"/>
    </row>
    <row r="34" spans="1:11">
      <c r="A34" s="133"/>
      <c r="B34" s="30"/>
      <c r="C34" s="30"/>
      <c r="D34" s="153"/>
      <c r="E34" s="30"/>
      <c r="F34" s="30"/>
      <c r="G34" s="30"/>
      <c r="H34" s="30"/>
      <c r="I34" s="33"/>
      <c r="J34" s="30"/>
      <c r="K34" s="30"/>
    </row>
    <row r="35" spans="1:11">
      <c r="A35" s="133"/>
      <c r="B35" s="30"/>
      <c r="C35" s="30"/>
      <c r="D35" s="154"/>
      <c r="E35" s="30"/>
      <c r="F35" s="30"/>
      <c r="G35" s="30"/>
      <c r="H35" s="30"/>
      <c r="I35" s="33"/>
      <c r="J35" s="30"/>
      <c r="K35" s="30"/>
    </row>
    <row r="36" spans="1:11">
      <c r="A36" s="133"/>
      <c r="B36" s="30"/>
      <c r="C36" s="30"/>
      <c r="D36" s="155"/>
      <c r="E36" s="30"/>
      <c r="F36" s="30"/>
      <c r="G36" s="30"/>
      <c r="H36" s="30"/>
      <c r="I36" s="156"/>
      <c r="J36" s="30"/>
      <c r="K36" s="30"/>
    </row>
    <row r="37" spans="1:11">
      <c r="A37" s="133"/>
      <c r="B37" s="30"/>
      <c r="C37" s="157"/>
      <c r="D37" s="153"/>
      <c r="E37" s="30"/>
      <c r="F37" s="30"/>
      <c r="G37" s="30"/>
      <c r="H37" s="30"/>
      <c r="I37" s="158"/>
      <c r="J37" s="30"/>
      <c r="K37" s="30"/>
    </row>
    <row r="38" spans="1:11">
      <c r="A38" s="133"/>
      <c r="B38" s="30"/>
      <c r="C38" s="157"/>
      <c r="D38" s="153"/>
      <c r="E38" s="30"/>
      <c r="F38" s="33"/>
      <c r="G38" s="30"/>
      <c r="H38" s="30"/>
      <c r="I38" s="158"/>
      <c r="J38" s="30"/>
      <c r="K38" s="30"/>
    </row>
    <row r="39" spans="1:11">
      <c r="A39" s="133"/>
      <c r="B39" s="30"/>
      <c r="C39" s="157"/>
      <c r="D39" s="153"/>
      <c r="E39" s="30"/>
      <c r="F39" s="33"/>
      <c r="G39" s="30"/>
      <c r="H39" s="30"/>
      <c r="I39" s="158"/>
      <c r="J39" s="30"/>
      <c r="K39" s="30"/>
    </row>
    <row r="40" spans="1:11">
      <c r="A40" s="133"/>
      <c r="B40" s="30"/>
      <c r="C40" s="30"/>
      <c r="D40" s="30"/>
      <c r="E40" s="30"/>
      <c r="F40" s="33"/>
      <c r="G40" s="30"/>
      <c r="H40" s="30"/>
      <c r="I40" s="33"/>
      <c r="J40" s="30"/>
      <c r="K40" s="30"/>
    </row>
    <row r="41" spans="1:11">
      <c r="A41" s="133"/>
      <c r="B41" s="30"/>
      <c r="C41" s="30"/>
      <c r="D41" s="30"/>
      <c r="E41" s="30"/>
      <c r="F41" s="33"/>
      <c r="G41" s="30"/>
      <c r="H41" s="30"/>
      <c r="I41" s="33"/>
      <c r="J41" s="30"/>
      <c r="K41" s="30"/>
    </row>
    <row r="42" spans="1:11">
      <c r="A42" s="133"/>
      <c r="B42" s="30"/>
      <c r="C42" s="30"/>
      <c r="D42" s="159"/>
      <c r="E42" s="159"/>
      <c r="F42" s="159"/>
      <c r="G42" s="159"/>
      <c r="H42" s="159"/>
      <c r="I42" s="159"/>
      <c r="J42" s="159"/>
      <c r="K42" s="30"/>
    </row>
    <row r="43" spans="1:11">
      <c r="A43" s="133"/>
      <c r="B43" s="30"/>
      <c r="C43" s="30"/>
      <c r="D43" s="159"/>
      <c r="E43" s="159"/>
      <c r="F43" s="159"/>
      <c r="G43" s="159"/>
      <c r="H43" s="159"/>
      <c r="I43" s="159"/>
      <c r="J43" s="159"/>
      <c r="K43" s="30"/>
    </row>
    <row r="44" spans="1:11">
      <c r="A44" s="133"/>
      <c r="B44" s="30"/>
      <c r="C44" s="30"/>
      <c r="D44" s="159"/>
      <c r="E44" s="159"/>
      <c r="F44" s="159"/>
      <c r="G44" s="159"/>
      <c r="H44" s="159"/>
      <c r="I44" s="159"/>
      <c r="J44" s="159"/>
      <c r="K44" s="30"/>
    </row>
    <row r="45" spans="1:11">
      <c r="A45" s="133"/>
      <c r="B45" s="30"/>
      <c r="C45" s="30"/>
      <c r="D45" s="159"/>
      <c r="E45" s="159"/>
      <c r="F45" s="159"/>
      <c r="G45" s="159"/>
      <c r="H45" s="159"/>
      <c r="I45" s="159"/>
      <c r="J45" s="159"/>
      <c r="K45" s="30"/>
    </row>
    <row r="46" spans="1:11">
      <c r="A46" s="133"/>
      <c r="B46" s="30"/>
      <c r="C46" s="30"/>
      <c r="D46" s="159"/>
      <c r="E46" s="159"/>
      <c r="F46" s="159"/>
      <c r="G46" s="159"/>
      <c r="H46" s="159"/>
      <c r="I46" s="159"/>
      <c r="J46" s="159"/>
      <c r="K46" s="30"/>
    </row>
    <row r="47" spans="1:11">
      <c r="A47" s="133"/>
      <c r="B47" s="30"/>
      <c r="C47" s="30"/>
      <c r="D47" s="159"/>
      <c r="E47" s="159"/>
      <c r="F47" s="159"/>
      <c r="G47" s="159"/>
      <c r="H47" s="159"/>
      <c r="I47" s="159"/>
      <c r="J47" s="159"/>
      <c r="K47" s="30"/>
    </row>
    <row r="48" spans="1:11">
      <c r="A48" s="133"/>
      <c r="B48" s="30"/>
      <c r="C48" s="30"/>
      <c r="D48" s="159"/>
      <c r="E48" s="159"/>
      <c r="F48" s="159"/>
      <c r="G48" s="159"/>
      <c r="H48" s="159"/>
      <c r="I48" s="159"/>
      <c r="J48" s="159"/>
      <c r="K48" s="30"/>
    </row>
    <row r="49" spans="1:11">
      <c r="A49" s="133"/>
      <c r="B49" s="30"/>
      <c r="C49" s="30"/>
      <c r="D49" s="159"/>
      <c r="E49" s="159"/>
      <c r="F49" s="159"/>
      <c r="G49" s="159"/>
      <c r="H49" s="159"/>
      <c r="I49" s="159"/>
      <c r="J49" s="159"/>
      <c r="K49" s="30"/>
    </row>
    <row r="50" spans="1:11">
      <c r="A50" s="133"/>
      <c r="B50" s="30"/>
      <c r="C50" s="30"/>
      <c r="D50" s="159"/>
      <c r="E50" s="159"/>
      <c r="F50" s="159"/>
      <c r="G50" s="159"/>
      <c r="H50" s="159"/>
      <c r="I50" s="159"/>
      <c r="J50" s="159"/>
      <c r="K50" s="30"/>
    </row>
    <row r="51" spans="1:11">
      <c r="A51" s="133"/>
      <c r="B51" s="30"/>
      <c r="C51" s="30"/>
      <c r="D51" s="159"/>
      <c r="E51" s="159"/>
      <c r="F51" s="159"/>
      <c r="G51" s="159"/>
      <c r="H51" s="159"/>
      <c r="I51" s="159"/>
      <c r="J51" s="159"/>
      <c r="K51" s="30"/>
    </row>
    <row r="52" spans="1:11">
      <c r="A52" s="33"/>
      <c r="B52" s="30"/>
      <c r="C52" s="30"/>
      <c r="D52" s="30"/>
      <c r="E52" s="30"/>
      <c r="F52" s="30"/>
      <c r="G52" s="30"/>
      <c r="H52" s="30"/>
      <c r="I52" s="34"/>
      <c r="J52" s="30"/>
      <c r="K52" s="160" t="s">
        <v>181</v>
      </c>
    </row>
    <row r="53" spans="1:11">
      <c r="A53" s="33"/>
      <c r="B53" s="30"/>
      <c r="C53" s="30"/>
      <c r="D53" s="30"/>
      <c r="E53" s="30"/>
      <c r="F53" s="30"/>
      <c r="G53" s="30"/>
      <c r="H53" s="30"/>
      <c r="I53" s="30"/>
      <c r="J53" s="30"/>
      <c r="K53" s="30"/>
    </row>
    <row r="54" spans="1:11">
      <c r="A54" s="33"/>
      <c r="B54" s="30" t="s">
        <v>9</v>
      </c>
      <c r="C54" s="30"/>
      <c r="D54" s="139" t="s">
        <v>91</v>
      </c>
      <c r="E54" s="30"/>
      <c r="F54" s="30"/>
      <c r="G54" s="30"/>
      <c r="H54" s="30"/>
      <c r="I54" s="41"/>
      <c r="J54" s="30"/>
      <c r="K54" s="160" t="str">
        <f>K3</f>
        <v>For  the 12 months ended 12/31/2027</v>
      </c>
    </row>
    <row r="55" spans="1:11">
      <c r="A55" s="33"/>
      <c r="B55" s="161"/>
      <c r="C55" s="28"/>
      <c r="D55" s="31" t="s">
        <v>160</v>
      </c>
      <c r="E55" s="28"/>
      <c r="F55" s="28"/>
      <c r="G55" s="28"/>
      <c r="H55" s="28"/>
      <c r="I55" s="28"/>
      <c r="J55" s="28"/>
      <c r="K55" s="28"/>
    </row>
    <row r="56" spans="1:11">
      <c r="A56" s="33"/>
      <c r="B56" s="30"/>
      <c r="C56" s="28"/>
      <c r="D56" s="31" t="str">
        <f>+D5</f>
        <v>Gridliance High Plains LLC</v>
      </c>
      <c r="E56" s="28"/>
      <c r="F56" s="28"/>
      <c r="G56" s="28" t="s">
        <v>10</v>
      </c>
      <c r="H56" s="28"/>
      <c r="I56" s="28"/>
      <c r="J56" s="28"/>
      <c r="K56" s="28"/>
    </row>
    <row r="57" spans="1:11">
      <c r="A57" s="961"/>
      <c r="B57" s="961"/>
      <c r="C57" s="961"/>
      <c r="D57" s="961"/>
      <c r="E57" s="961"/>
      <c r="F57" s="961"/>
      <c r="G57" s="961"/>
      <c r="H57" s="961"/>
      <c r="I57" s="961"/>
      <c r="J57" s="961"/>
      <c r="K57" s="961"/>
    </row>
    <row r="58" spans="1:11">
      <c r="A58" s="33"/>
      <c r="B58" s="139" t="s">
        <v>11</v>
      </c>
      <c r="C58" s="139" t="s">
        <v>12</v>
      </c>
      <c r="D58" s="139" t="s">
        <v>13</v>
      </c>
      <c r="E58" s="28" t="s">
        <v>10</v>
      </c>
      <c r="F58" s="28"/>
      <c r="G58" s="138" t="s">
        <v>14</v>
      </c>
      <c r="H58" s="28"/>
      <c r="I58" s="138" t="s">
        <v>15</v>
      </c>
      <c r="J58" s="28"/>
      <c r="K58" s="139"/>
    </row>
    <row r="59" spans="1:11">
      <c r="A59" s="33"/>
      <c r="B59" s="30"/>
      <c r="C59" s="162"/>
      <c r="D59" s="28"/>
      <c r="E59" s="28"/>
      <c r="F59" s="28"/>
      <c r="G59" s="133"/>
      <c r="H59" s="28"/>
      <c r="I59" s="163" t="s">
        <v>25</v>
      </c>
      <c r="J59" s="28"/>
      <c r="K59" s="139"/>
    </row>
    <row r="60" spans="1:11">
      <c r="A60" s="133" t="s">
        <v>16</v>
      </c>
      <c r="B60" s="30"/>
      <c r="C60" s="164" t="s">
        <v>301</v>
      </c>
      <c r="D60" s="163" t="s">
        <v>27</v>
      </c>
      <c r="E60" s="165"/>
      <c r="F60" s="163" t="s">
        <v>28</v>
      </c>
      <c r="G60" s="33"/>
      <c r="H60" s="165"/>
      <c r="I60" s="133" t="s">
        <v>29</v>
      </c>
      <c r="J60" s="28"/>
      <c r="K60" s="139"/>
    </row>
    <row r="61" spans="1:11" ht="13.5" thickBot="1">
      <c r="A61" s="32" t="s">
        <v>18</v>
      </c>
      <c r="B61" s="166" t="s">
        <v>569</v>
      </c>
      <c r="C61" s="28"/>
      <c r="D61" s="28"/>
      <c r="E61" s="28"/>
      <c r="F61" s="28"/>
      <c r="G61" s="28"/>
      <c r="H61" s="28"/>
      <c r="I61" s="28"/>
      <c r="J61" s="28"/>
      <c r="K61" s="28"/>
    </row>
    <row r="62" spans="1:11">
      <c r="A62" s="133"/>
      <c r="B62" s="30" t="s">
        <v>689</v>
      </c>
      <c r="C62" s="28"/>
      <c r="D62" s="28"/>
      <c r="E62" s="28"/>
      <c r="F62" s="28"/>
      <c r="G62" s="28"/>
      <c r="H62" s="28"/>
      <c r="I62" s="28"/>
      <c r="J62" s="28"/>
      <c r="K62" s="28"/>
    </row>
    <row r="63" spans="1:11">
      <c r="A63" s="133">
        <v>1</v>
      </c>
      <c r="B63" s="30" t="s">
        <v>420</v>
      </c>
      <c r="C63" s="39" t="s">
        <v>425</v>
      </c>
      <c r="D63" s="167">
        <v>0</v>
      </c>
      <c r="E63" s="28"/>
      <c r="F63" s="28" t="s">
        <v>30</v>
      </c>
      <c r="G63" s="744">
        <v>0</v>
      </c>
      <c r="H63" s="28"/>
      <c r="I63" s="18">
        <f>+G63*D63</f>
        <v>0</v>
      </c>
      <c r="J63" s="28"/>
      <c r="K63" s="28"/>
    </row>
    <row r="64" spans="1:11">
      <c r="A64" s="133">
        <f>+A63+1</f>
        <v>2</v>
      </c>
      <c r="B64" s="30" t="s">
        <v>31</v>
      </c>
      <c r="C64" s="39" t="s">
        <v>423</v>
      </c>
      <c r="D64" s="178">
        <f>'4- Rate Base'!C24</f>
        <v>18189760.969999999</v>
      </c>
      <c r="E64" s="28"/>
      <c r="F64" s="28" t="s">
        <v>23</v>
      </c>
      <c r="G64" s="26">
        <f>I191</f>
        <v>1</v>
      </c>
      <c r="H64" s="39"/>
      <c r="I64" s="18">
        <f>+G64*D64</f>
        <v>18189760.969999999</v>
      </c>
      <c r="J64" s="28"/>
      <c r="K64" s="28"/>
    </row>
    <row r="65" spans="1:11">
      <c r="A65" s="133">
        <f t="shared" ref="A65:A104" si="0">+A64+1</f>
        <v>3</v>
      </c>
      <c r="B65" s="30" t="s">
        <v>421</v>
      </c>
      <c r="C65" s="39" t="s">
        <v>426</v>
      </c>
      <c r="D65" s="167">
        <v>0</v>
      </c>
      <c r="E65" s="28"/>
      <c r="F65" s="28" t="s">
        <v>30</v>
      </c>
      <c r="G65" s="142">
        <v>0</v>
      </c>
      <c r="H65" s="39"/>
      <c r="I65" s="18">
        <f>+G65*D65</f>
        <v>0</v>
      </c>
      <c r="J65" s="28"/>
      <c r="K65" s="28"/>
    </row>
    <row r="66" spans="1:11">
      <c r="A66" s="133">
        <f t="shared" si="0"/>
        <v>4</v>
      </c>
      <c r="B66" s="30" t="s">
        <v>125</v>
      </c>
      <c r="C66" s="39" t="s">
        <v>424</v>
      </c>
      <c r="D66" s="178">
        <f>'4- Rate Base'!D24</f>
        <v>3341.7592961457267</v>
      </c>
      <c r="E66" s="28"/>
      <c r="F66" s="28" t="s">
        <v>32</v>
      </c>
      <c r="G66" s="26">
        <f>I199</f>
        <v>1</v>
      </c>
      <c r="H66" s="39"/>
      <c r="I66" s="18">
        <f>+G66*D66</f>
        <v>3341.7592961457267</v>
      </c>
      <c r="J66" s="28"/>
      <c r="K66" s="28"/>
    </row>
    <row r="67" spans="1:11" ht="13.5" thickBot="1">
      <c r="A67" s="133">
        <f t="shared" si="0"/>
        <v>5</v>
      </c>
      <c r="B67" s="30" t="s">
        <v>422</v>
      </c>
      <c r="C67" s="28" t="s">
        <v>427</v>
      </c>
      <c r="D67" s="168">
        <v>0</v>
      </c>
      <c r="E67" s="28"/>
      <c r="F67" s="28" t="s">
        <v>183</v>
      </c>
      <c r="G67" s="26">
        <f>K203</f>
        <v>1</v>
      </c>
      <c r="H67" s="39"/>
      <c r="I67" s="169">
        <f>+G67*D67</f>
        <v>0</v>
      </c>
      <c r="J67" s="28"/>
      <c r="K67" s="28"/>
    </row>
    <row r="68" spans="1:11" ht="24" customHeight="1">
      <c r="A68" s="133">
        <f t="shared" si="0"/>
        <v>6</v>
      </c>
      <c r="B68" s="27" t="s">
        <v>330</v>
      </c>
      <c r="C68" s="28" t="s">
        <v>329</v>
      </c>
      <c r="D68" s="18">
        <f>SUM(D63:D67)</f>
        <v>18193102.729296144</v>
      </c>
      <c r="E68" s="28"/>
      <c r="F68" s="28" t="s">
        <v>33</v>
      </c>
      <c r="G68" s="170">
        <f>IF(I68&gt;0,I68/D68,0)</f>
        <v>1</v>
      </c>
      <c r="H68" s="39"/>
      <c r="I68" s="18">
        <f>SUM(I63:I67)</f>
        <v>18193102.729296144</v>
      </c>
      <c r="J68" s="28"/>
      <c r="K68" s="171"/>
    </row>
    <row r="69" spans="1:11">
      <c r="A69" s="133"/>
      <c r="B69" s="30"/>
      <c r="C69" s="28"/>
      <c r="D69" s="18"/>
      <c r="E69" s="28"/>
      <c r="F69" s="28"/>
      <c r="G69" s="171"/>
      <c r="H69" s="28"/>
      <c r="I69" s="18"/>
      <c r="J69" s="28"/>
      <c r="K69" s="171"/>
    </row>
    <row r="70" spans="1:11">
      <c r="A70" s="133">
        <f>+A68+1</f>
        <v>7</v>
      </c>
      <c r="B70" s="30" t="s">
        <v>690</v>
      </c>
      <c r="C70" s="28"/>
      <c r="D70" s="18"/>
      <c r="E70" s="28"/>
      <c r="F70" s="28"/>
      <c r="G70" s="28"/>
      <c r="H70" s="28"/>
      <c r="I70" s="18"/>
      <c r="J70" s="28"/>
      <c r="K70" s="28"/>
    </row>
    <row r="71" spans="1:11">
      <c r="A71" s="133">
        <f t="shared" si="0"/>
        <v>8</v>
      </c>
      <c r="B71" s="30" t="s">
        <v>420</v>
      </c>
      <c r="C71" s="28" t="s">
        <v>428</v>
      </c>
      <c r="D71" s="167">
        <v>0</v>
      </c>
      <c r="E71" s="28"/>
      <c r="F71" s="28" t="s">
        <v>30</v>
      </c>
      <c r="G71" s="18">
        <v>0</v>
      </c>
      <c r="H71" s="28"/>
      <c r="I71" s="18">
        <f>+G71*D71</f>
        <v>0</v>
      </c>
      <c r="J71" s="28"/>
      <c r="K71" s="28"/>
    </row>
    <row r="72" spans="1:11">
      <c r="A72" s="133">
        <f t="shared" si="0"/>
        <v>9</v>
      </c>
      <c r="B72" s="30" t="s">
        <v>31</v>
      </c>
      <c r="C72" s="28" t="s">
        <v>430</v>
      </c>
      <c r="D72" s="178">
        <f>'4- Rate Base'!I24</f>
        <v>2688909.6484372416</v>
      </c>
      <c r="E72" s="28"/>
      <c r="F72" s="28" t="s">
        <v>23</v>
      </c>
      <c r="G72" s="26">
        <f>+G64</f>
        <v>1</v>
      </c>
      <c r="H72" s="39"/>
      <c r="I72" s="18">
        <f>+G72*D72</f>
        <v>2688909.6484372416</v>
      </c>
      <c r="J72" s="28"/>
      <c r="K72" s="28"/>
    </row>
    <row r="73" spans="1:11">
      <c r="A73" s="133">
        <f t="shared" si="0"/>
        <v>10</v>
      </c>
      <c r="B73" s="30" t="s">
        <v>421</v>
      </c>
      <c r="C73" s="28" t="s">
        <v>429</v>
      </c>
      <c r="D73" s="167">
        <v>0</v>
      </c>
      <c r="E73" s="28"/>
      <c r="F73" s="28" t="s">
        <v>30</v>
      </c>
      <c r="G73" s="26">
        <f>+G65</f>
        <v>0</v>
      </c>
      <c r="H73" s="39"/>
      <c r="I73" s="178">
        <f>+G73*D73</f>
        <v>0</v>
      </c>
      <c r="J73" s="28"/>
      <c r="K73" s="28"/>
    </row>
    <row r="74" spans="1:11">
      <c r="A74" s="133">
        <f t="shared" si="0"/>
        <v>11</v>
      </c>
      <c r="B74" s="30" t="s">
        <v>125</v>
      </c>
      <c r="C74" s="28" t="s">
        <v>431</v>
      </c>
      <c r="D74" s="178">
        <f>'4- Rate Base'!J24</f>
        <v>1533.9307852970669</v>
      </c>
      <c r="E74" s="28"/>
      <c r="F74" s="28" t="s">
        <v>32</v>
      </c>
      <c r="G74" s="26">
        <f>+G66</f>
        <v>1</v>
      </c>
      <c r="H74" s="39"/>
      <c r="I74" s="18">
        <f>+G74*D74</f>
        <v>1533.9307852970669</v>
      </c>
      <c r="J74" s="28"/>
      <c r="K74" s="28"/>
    </row>
    <row r="75" spans="1:11" ht="13.5" thickBot="1">
      <c r="A75" s="133">
        <f t="shared" si="0"/>
        <v>12</v>
      </c>
      <c r="B75" s="30" t="s">
        <v>422</v>
      </c>
      <c r="C75" s="28" t="s">
        <v>427</v>
      </c>
      <c r="D75" s="168">
        <v>0</v>
      </c>
      <c r="E75" s="28"/>
      <c r="F75" s="28" t="s">
        <v>183</v>
      </c>
      <c r="G75" s="26">
        <f>+G67</f>
        <v>1</v>
      </c>
      <c r="H75" s="39"/>
      <c r="I75" s="169">
        <f>+G75*D75</f>
        <v>0</v>
      </c>
      <c r="J75" s="28"/>
      <c r="K75" s="28"/>
    </row>
    <row r="76" spans="1:11">
      <c r="A76" s="133">
        <f t="shared" si="0"/>
        <v>13</v>
      </c>
      <c r="B76" s="30" t="s">
        <v>332</v>
      </c>
      <c r="C76" s="28" t="s">
        <v>331</v>
      </c>
      <c r="D76" s="18">
        <f>SUM(D71:D75)</f>
        <v>2690443.5792225385</v>
      </c>
      <c r="E76" s="28"/>
      <c r="F76" s="28"/>
      <c r="G76" s="26"/>
      <c r="H76" s="39"/>
      <c r="I76" s="18">
        <f>SUM(I71:I75)</f>
        <v>2690443.5792225385</v>
      </c>
      <c r="J76" s="28"/>
      <c r="K76" s="28"/>
    </row>
    <row r="77" spans="1:11">
      <c r="A77" s="133"/>
      <c r="B77" s="33"/>
      <c r="C77" s="28" t="s">
        <v>10</v>
      </c>
      <c r="D77" s="18"/>
      <c r="E77" s="28"/>
      <c r="F77" s="28"/>
      <c r="G77" s="170"/>
      <c r="H77" s="28"/>
      <c r="I77" s="18"/>
      <c r="J77" s="28"/>
      <c r="K77" s="171"/>
    </row>
    <row r="78" spans="1:11">
      <c r="A78" s="133">
        <f>+A76+1</f>
        <v>14</v>
      </c>
      <c r="B78" s="30" t="s">
        <v>34</v>
      </c>
      <c r="C78" s="28"/>
      <c r="D78" s="18"/>
      <c r="E78" s="28"/>
      <c r="F78" s="28"/>
      <c r="G78" s="26"/>
      <c r="H78" s="28"/>
      <c r="I78" s="18"/>
      <c r="J78" s="28"/>
      <c r="K78" s="28"/>
    </row>
    <row r="79" spans="1:11">
      <c r="A79" s="133">
        <f t="shared" si="0"/>
        <v>15</v>
      </c>
      <c r="B79" s="30" t="s">
        <v>420</v>
      </c>
      <c r="C79" s="28" t="str">
        <f>"(line "&amp;A63&amp;" - line "&amp;A71&amp;")"</f>
        <v>(line 1 - line 8)</v>
      </c>
      <c r="D79" s="18">
        <f>D63-D71</f>
        <v>0</v>
      </c>
      <c r="E79" s="39"/>
      <c r="F79" s="39"/>
      <c r="G79" s="170"/>
      <c r="H79" s="39"/>
      <c r="I79" s="18">
        <f>I63-I71</f>
        <v>0</v>
      </c>
      <c r="J79" s="28"/>
      <c r="K79" s="171"/>
    </row>
    <row r="80" spans="1:11">
      <c r="A80" s="133">
        <f t="shared" si="0"/>
        <v>16</v>
      </c>
      <c r="B80" s="30" t="s">
        <v>31</v>
      </c>
      <c r="C80" s="28" t="s">
        <v>334</v>
      </c>
      <c r="D80" s="18">
        <f>D64-D72</f>
        <v>15500851.321562758</v>
      </c>
      <c r="E80" s="39"/>
      <c r="F80" s="39"/>
      <c r="G80" s="26"/>
      <c r="H80" s="39"/>
      <c r="I80" s="18">
        <f>I64-I72</f>
        <v>15500851.321562758</v>
      </c>
      <c r="J80" s="28"/>
      <c r="K80" s="171"/>
    </row>
    <row r="81" spans="1:11">
      <c r="A81" s="133">
        <f t="shared" si="0"/>
        <v>17</v>
      </c>
      <c r="B81" s="30" t="s">
        <v>421</v>
      </c>
      <c r="C81" s="28" t="str">
        <f>"(line "&amp;A65&amp;" - line "&amp;A73&amp;")"</f>
        <v>(line 3 - line 10)</v>
      </c>
      <c r="D81" s="18">
        <f>D65-D73</f>
        <v>0</v>
      </c>
      <c r="E81" s="39"/>
      <c r="F81" s="39"/>
      <c r="G81" s="170"/>
      <c r="H81" s="39"/>
      <c r="I81" s="178">
        <f>I65-I73</f>
        <v>0</v>
      </c>
      <c r="J81" s="28"/>
      <c r="K81" s="171"/>
    </row>
    <row r="82" spans="1:11">
      <c r="A82" s="133">
        <f t="shared" si="0"/>
        <v>18</v>
      </c>
      <c r="B82" s="30" t="s">
        <v>125</v>
      </c>
      <c r="C82" s="28" t="s">
        <v>335</v>
      </c>
      <c r="D82" s="18">
        <f>D66-D74</f>
        <v>1807.8285108486598</v>
      </c>
      <c r="E82" s="39"/>
      <c r="F82" s="39"/>
      <c r="G82" s="170"/>
      <c r="H82" s="39"/>
      <c r="I82" s="18">
        <f>I66-I74</f>
        <v>1807.8285108486598</v>
      </c>
      <c r="J82" s="28"/>
      <c r="K82" s="171"/>
    </row>
    <row r="83" spans="1:11" ht="13.5" thickBot="1">
      <c r="A83" s="133">
        <f t="shared" si="0"/>
        <v>19</v>
      </c>
      <c r="B83" s="30" t="s">
        <v>422</v>
      </c>
      <c r="C83" s="28" t="str">
        <f>"(line "&amp;A67&amp;" - line "&amp;A75&amp;")"</f>
        <v>(line 5 - line 12)</v>
      </c>
      <c r="D83" s="169">
        <f>D67-D75</f>
        <v>0</v>
      </c>
      <c r="E83" s="39"/>
      <c r="F83" s="39"/>
      <c r="G83" s="170"/>
      <c r="H83" s="39"/>
      <c r="I83" s="169">
        <f>I67-I75</f>
        <v>0</v>
      </c>
      <c r="J83" s="28"/>
      <c r="K83" s="171"/>
    </row>
    <row r="84" spans="1:11">
      <c r="A84" s="133">
        <f t="shared" si="0"/>
        <v>20</v>
      </c>
      <c r="B84" s="30" t="s">
        <v>338</v>
      </c>
      <c r="C84" s="28" t="s">
        <v>333</v>
      </c>
      <c r="D84" s="18">
        <f>SUM(D79:D83)</f>
        <v>15502659.150073607</v>
      </c>
      <c r="E84" s="39"/>
      <c r="F84" s="39" t="s">
        <v>35</v>
      </c>
      <c r="G84" s="170">
        <f>IF(I84&gt;0,I84/D84,0)</f>
        <v>1</v>
      </c>
      <c r="H84" s="39"/>
      <c r="I84" s="18">
        <f>SUM(I79:I83)</f>
        <v>15502659.150073607</v>
      </c>
      <c r="J84" s="28"/>
      <c r="K84" s="28"/>
    </row>
    <row r="85" spans="1:11">
      <c r="A85" s="133"/>
      <c r="B85" s="33"/>
      <c r="C85" s="28"/>
      <c r="D85" s="18"/>
      <c r="E85" s="28"/>
      <c r="F85" s="33"/>
      <c r="G85" s="33"/>
      <c r="H85" s="28"/>
      <c r="I85" s="178"/>
      <c r="J85" s="28"/>
      <c r="K85" s="171"/>
    </row>
    <row r="86" spans="1:11">
      <c r="A86" s="133">
        <f>+A84+1</f>
        <v>21</v>
      </c>
      <c r="B86" s="27" t="s">
        <v>691</v>
      </c>
      <c r="C86" s="28"/>
      <c r="D86" s="18"/>
      <c r="E86" s="28"/>
      <c r="F86" s="28"/>
      <c r="G86" s="28"/>
      <c r="H86" s="28"/>
      <c r="I86" s="178"/>
      <c r="J86" s="28"/>
      <c r="K86" s="28"/>
    </row>
    <row r="87" spans="1:11">
      <c r="A87" s="133">
        <f t="shared" si="0"/>
        <v>22</v>
      </c>
      <c r="B87" s="30" t="s">
        <v>126</v>
      </c>
      <c r="C87" s="28" t="s">
        <v>701</v>
      </c>
      <c r="D87" s="178">
        <f>+'4- Rate Base'!E44</f>
        <v>0</v>
      </c>
      <c r="E87" s="28"/>
      <c r="F87" s="28" t="s">
        <v>30</v>
      </c>
      <c r="G87" s="189">
        <v>0</v>
      </c>
      <c r="H87" s="39"/>
      <c r="I87" s="178">
        <f>+G87*D87</f>
        <v>0</v>
      </c>
      <c r="J87" s="28"/>
      <c r="K87" s="171"/>
    </row>
    <row r="88" spans="1:11">
      <c r="A88" s="133">
        <f t="shared" si="0"/>
        <v>23</v>
      </c>
      <c r="B88" s="30" t="s">
        <v>127</v>
      </c>
      <c r="C88" s="28" t="s">
        <v>702</v>
      </c>
      <c r="D88" s="48">
        <f>+'4- Rate Base'!F44</f>
        <v>-1796206.44485827</v>
      </c>
      <c r="E88" s="28"/>
      <c r="F88" s="28" t="s">
        <v>97</v>
      </c>
      <c r="G88" s="451">
        <v>1</v>
      </c>
      <c r="H88" s="39"/>
      <c r="I88" s="178">
        <f>D88*G88</f>
        <v>-1796206.44485827</v>
      </c>
      <c r="J88" s="28"/>
      <c r="K88" s="171"/>
    </row>
    <row r="89" spans="1:11">
      <c r="A89" s="133">
        <f t="shared" si="0"/>
        <v>24</v>
      </c>
      <c r="B89" s="30" t="s">
        <v>128</v>
      </c>
      <c r="C89" s="28" t="s">
        <v>703</v>
      </c>
      <c r="D89" s="48">
        <f>+'4- Rate Base'!G44</f>
        <v>-159638.84738990734</v>
      </c>
      <c r="E89" s="28"/>
      <c r="F89" s="28" t="s">
        <v>97</v>
      </c>
      <c r="G89" s="451">
        <v>1</v>
      </c>
      <c r="H89" s="39"/>
      <c r="I89" s="18">
        <f>D89*G89</f>
        <v>-159638.84738990734</v>
      </c>
      <c r="J89" s="28"/>
      <c r="K89" s="171"/>
    </row>
    <row r="90" spans="1:11">
      <c r="A90" s="133">
        <f t="shared" si="0"/>
        <v>25</v>
      </c>
      <c r="B90" s="30" t="s">
        <v>150</v>
      </c>
      <c r="C90" s="28" t="s">
        <v>704</v>
      </c>
      <c r="D90" s="48">
        <f>+'4- Rate Base'!H44</f>
        <v>-12965.209075895764</v>
      </c>
      <c r="E90" s="28"/>
      <c r="F90" s="28" t="s">
        <v>97</v>
      </c>
      <c r="G90" s="451">
        <v>1</v>
      </c>
      <c r="H90" s="39"/>
      <c r="I90" s="18">
        <f>D90*G90</f>
        <v>-12965.209075895764</v>
      </c>
      <c r="J90" s="28"/>
      <c r="K90" s="171"/>
    </row>
    <row r="91" spans="1:11">
      <c r="A91" s="133">
        <f t="shared" si="0"/>
        <v>26</v>
      </c>
      <c r="B91" s="33" t="s">
        <v>129</v>
      </c>
      <c r="C91" s="33" t="s">
        <v>705</v>
      </c>
      <c r="D91" s="48">
        <f>+'4- Rate Base'!I44</f>
        <v>0</v>
      </c>
      <c r="E91" s="28"/>
      <c r="F91" s="28" t="s">
        <v>36</v>
      </c>
      <c r="G91" s="174">
        <f>G84</f>
        <v>1</v>
      </c>
      <c r="H91" s="39"/>
      <c r="I91" s="37">
        <f>D91*G91</f>
        <v>0</v>
      </c>
      <c r="J91" s="28"/>
      <c r="K91" s="171"/>
    </row>
    <row r="92" spans="1:11">
      <c r="A92" s="133" t="s">
        <v>585</v>
      </c>
      <c r="B92" s="33" t="s">
        <v>688</v>
      </c>
      <c r="C92" s="33" t="s">
        <v>586</v>
      </c>
      <c r="D92" s="48">
        <f>+'4- Rate Base'!I59</f>
        <v>0</v>
      </c>
      <c r="E92" s="28"/>
      <c r="F92" s="28" t="s">
        <v>97</v>
      </c>
      <c r="G92" s="451">
        <f>G93</f>
        <v>1</v>
      </c>
      <c r="H92" s="39"/>
      <c r="I92" s="48">
        <f>+G92*D92</f>
        <v>0</v>
      </c>
      <c r="J92" s="28"/>
      <c r="K92" s="171"/>
    </row>
    <row r="93" spans="1:11">
      <c r="A93" s="133">
        <f>+A91+1</f>
        <v>27</v>
      </c>
      <c r="B93" s="149" t="s">
        <v>107</v>
      </c>
      <c r="C93" s="151" t="s">
        <v>302</v>
      </c>
      <c r="D93" s="48">
        <f>'4- Rate Base'!E24</f>
        <v>0</v>
      </c>
      <c r="E93" s="151"/>
      <c r="F93" s="151" t="str">
        <f>+F94</f>
        <v>DA</v>
      </c>
      <c r="G93" s="175">
        <v>1</v>
      </c>
      <c r="H93" s="151"/>
      <c r="I93" s="37">
        <f>+G93*D93</f>
        <v>0</v>
      </c>
      <c r="K93" s="171"/>
    </row>
    <row r="94" spans="1:11">
      <c r="A94" s="133">
        <f t="shared" si="0"/>
        <v>28</v>
      </c>
      <c r="B94" s="149" t="s">
        <v>165</v>
      </c>
      <c r="C94" s="151" t="s">
        <v>467</v>
      </c>
      <c r="D94" s="48">
        <f>+'4- Rate Base'!C44</f>
        <v>0</v>
      </c>
      <c r="E94" s="151"/>
      <c r="F94" s="151" t="str">
        <f>+F95</f>
        <v>DA</v>
      </c>
      <c r="G94" s="175">
        <v>1</v>
      </c>
      <c r="H94" s="151"/>
      <c r="I94" s="37">
        <f>+G94*D94</f>
        <v>0</v>
      </c>
      <c r="K94" s="171"/>
    </row>
    <row r="95" spans="1:11" ht="13.5" thickBot="1">
      <c r="A95" s="133">
        <f t="shared" si="0"/>
        <v>29</v>
      </c>
      <c r="B95" s="149" t="s">
        <v>166</v>
      </c>
      <c r="C95" s="151" t="s">
        <v>432</v>
      </c>
      <c r="D95" s="186">
        <f>+'4- Rate Base'!D44</f>
        <v>0</v>
      </c>
      <c r="E95" s="151"/>
      <c r="F95" s="151" t="s">
        <v>97</v>
      </c>
      <c r="G95" s="176">
        <v>1</v>
      </c>
      <c r="H95" s="151"/>
      <c r="I95" s="169">
        <f>+G95*D95</f>
        <v>0</v>
      </c>
      <c r="K95" s="171"/>
    </row>
    <row r="96" spans="1:11">
      <c r="A96" s="133">
        <f t="shared" si="0"/>
        <v>30</v>
      </c>
      <c r="B96" s="30" t="s">
        <v>337</v>
      </c>
      <c r="C96" s="28" t="s">
        <v>336</v>
      </c>
      <c r="D96" s="18">
        <f>SUM(D87:D95)</f>
        <v>-1968810.5013240732</v>
      </c>
      <c r="E96" s="28"/>
      <c r="F96" s="28"/>
      <c r="G96" s="39"/>
      <c r="H96" s="39"/>
      <c r="I96" s="18">
        <f>SUM(I87:I95)</f>
        <v>-1968810.5013240732</v>
      </c>
      <c r="J96" s="28"/>
      <c r="K96" s="28"/>
    </row>
    <row r="97" spans="1:11">
      <c r="A97" s="133"/>
      <c r="B97" s="33"/>
      <c r="C97" s="28"/>
      <c r="D97" s="18"/>
      <c r="E97" s="28"/>
      <c r="F97" s="28"/>
      <c r="G97" s="171"/>
      <c r="H97" s="28"/>
      <c r="I97" s="18"/>
      <c r="J97" s="28"/>
      <c r="K97" s="171"/>
    </row>
    <row r="98" spans="1:11">
      <c r="A98" s="133">
        <f>+A96+1</f>
        <v>31</v>
      </c>
      <c r="B98" s="27" t="s">
        <v>706</v>
      </c>
      <c r="C98" s="177" t="s">
        <v>433</v>
      </c>
      <c r="D98" s="178">
        <f>+'4- Rate Base'!F24</f>
        <v>0</v>
      </c>
      <c r="E98" s="28"/>
      <c r="F98" s="28" t="s">
        <v>23</v>
      </c>
      <c r="G98" s="26">
        <f>+G72</f>
        <v>1</v>
      </c>
      <c r="H98" s="39"/>
      <c r="I98" s="18">
        <f>+G98*D98</f>
        <v>0</v>
      </c>
      <c r="J98" s="28"/>
      <c r="K98" s="28"/>
    </row>
    <row r="99" spans="1:11">
      <c r="A99" s="133"/>
      <c r="B99" s="30"/>
      <c r="C99" s="28"/>
      <c r="D99" s="18"/>
      <c r="E99" s="28"/>
      <c r="F99" s="28"/>
      <c r="G99" s="26"/>
      <c r="H99" s="39"/>
      <c r="I99" s="18"/>
      <c r="J99" s="28"/>
      <c r="K99" s="28"/>
    </row>
    <row r="100" spans="1:11">
      <c r="A100" s="133">
        <f>+A98+1</f>
        <v>32</v>
      </c>
      <c r="B100" s="30" t="s">
        <v>342</v>
      </c>
      <c r="C100" s="28" t="s">
        <v>180</v>
      </c>
      <c r="D100" s="18"/>
      <c r="E100" s="28"/>
      <c r="F100" s="28"/>
      <c r="G100" s="26"/>
      <c r="H100" s="39"/>
      <c r="I100" s="18"/>
      <c r="J100" s="28"/>
      <c r="K100" s="28"/>
    </row>
    <row r="101" spans="1:11">
      <c r="A101" s="133">
        <f t="shared" si="0"/>
        <v>33</v>
      </c>
      <c r="B101" s="30" t="s">
        <v>185</v>
      </c>
      <c r="C101" s="33" t="s">
        <v>974</v>
      </c>
      <c r="D101" s="178">
        <f>(D134-D131)/8</f>
        <v>96398.289991831465</v>
      </c>
      <c r="E101" s="28"/>
      <c r="F101" s="28"/>
      <c r="G101" s="142"/>
      <c r="H101" s="39"/>
      <c r="I101" s="178">
        <f>(I134-I131)/8</f>
        <v>96398.289991831465</v>
      </c>
      <c r="J101" s="30"/>
      <c r="K101" s="171"/>
    </row>
    <row r="102" spans="1:11">
      <c r="A102" s="133">
        <f t="shared" si="0"/>
        <v>34</v>
      </c>
      <c r="B102" s="30" t="s">
        <v>254</v>
      </c>
      <c r="C102" s="177" t="s">
        <v>470</v>
      </c>
      <c r="D102" s="178">
        <f>+'4- Rate Base'!G24</f>
        <v>336784.71077733301</v>
      </c>
      <c r="E102" s="28"/>
      <c r="F102" s="28" t="s">
        <v>23</v>
      </c>
      <c r="G102" s="26">
        <f>+G119</f>
        <v>1</v>
      </c>
      <c r="H102" s="39"/>
      <c r="I102" s="18">
        <f>+G102*D102</f>
        <v>336784.71077733301</v>
      </c>
      <c r="J102" s="28" t="s">
        <v>10</v>
      </c>
      <c r="K102" s="171"/>
    </row>
    <row r="103" spans="1:11" ht="13.5" thickBot="1">
      <c r="A103" s="133">
        <f t="shared" si="0"/>
        <v>35</v>
      </c>
      <c r="B103" s="30" t="s">
        <v>130</v>
      </c>
      <c r="C103" s="39" t="s">
        <v>434</v>
      </c>
      <c r="D103" s="186">
        <f>+'4- Rate Base'!H24</f>
        <v>24386.238764464295</v>
      </c>
      <c r="E103" s="28"/>
      <c r="F103" s="28" t="s">
        <v>37</v>
      </c>
      <c r="G103" s="26">
        <f>+G68</f>
        <v>1</v>
      </c>
      <c r="H103" s="39"/>
      <c r="I103" s="169">
        <f>+G103*D103</f>
        <v>24386.238764464295</v>
      </c>
      <c r="J103" s="28"/>
      <c r="K103" s="171"/>
    </row>
    <row r="104" spans="1:11">
      <c r="A104" s="133">
        <f t="shared" si="0"/>
        <v>36</v>
      </c>
      <c r="B104" s="30" t="s">
        <v>341</v>
      </c>
      <c r="C104" s="30" t="s">
        <v>677</v>
      </c>
      <c r="D104" s="18">
        <f>SUM(D101:D103)</f>
        <v>457569.23953362874</v>
      </c>
      <c r="E104" s="30"/>
      <c r="F104" s="30"/>
      <c r="G104" s="41"/>
      <c r="H104" s="41"/>
      <c r="I104" s="18">
        <f>I101+I102+I103</f>
        <v>457569.23953362874</v>
      </c>
      <c r="J104" s="30"/>
      <c r="K104" s="30"/>
    </row>
    <row r="105" spans="1:11" ht="13.5" thickBot="1">
      <c r="A105" s="133"/>
      <c r="B105" s="33"/>
      <c r="C105" s="28"/>
      <c r="D105" s="169"/>
      <c r="E105" s="28"/>
      <c r="F105" s="28"/>
      <c r="G105" s="28"/>
      <c r="H105" s="28"/>
      <c r="I105" s="169"/>
      <c r="J105" s="28"/>
      <c r="K105" s="28"/>
    </row>
    <row r="106" spans="1:11" ht="13.5" thickBot="1">
      <c r="A106" s="133">
        <f>+A104+1</f>
        <v>37</v>
      </c>
      <c r="B106" s="30" t="s">
        <v>344</v>
      </c>
      <c r="C106" s="28" t="s">
        <v>343</v>
      </c>
      <c r="D106" s="179">
        <f>+D104+D98+D96+D84</f>
        <v>13991417.888283161</v>
      </c>
      <c r="E106" s="39"/>
      <c r="F106" s="39"/>
      <c r="G106" s="180"/>
      <c r="H106" s="39"/>
      <c r="I106" s="179">
        <f>+I104+I98+I96+I84</f>
        <v>13991417.888283161</v>
      </c>
      <c r="J106" s="28"/>
      <c r="K106" s="171"/>
    </row>
    <row r="107" spans="1:11" ht="13.5" thickTop="1">
      <c r="A107" s="133"/>
      <c r="B107" s="30"/>
      <c r="C107" s="28"/>
      <c r="D107" s="39"/>
      <c r="E107" s="39"/>
      <c r="F107" s="39"/>
      <c r="G107" s="180"/>
      <c r="H107" s="39"/>
      <c r="I107" s="39"/>
      <c r="J107" s="28"/>
      <c r="K107" s="171"/>
    </row>
    <row r="108" spans="1:11">
      <c r="A108" s="133"/>
      <c r="B108" s="30"/>
      <c r="C108" s="28"/>
      <c r="D108" s="39"/>
      <c r="E108" s="39"/>
      <c r="F108" s="39"/>
      <c r="G108" s="180"/>
      <c r="H108" s="39"/>
      <c r="I108" s="39"/>
      <c r="J108" s="28"/>
      <c r="K108" s="171"/>
    </row>
    <row r="109" spans="1:11">
      <c r="A109" s="133"/>
      <c r="B109" s="30"/>
      <c r="C109" s="28"/>
      <c r="D109" s="28"/>
      <c r="E109" s="28"/>
      <c r="F109" s="28"/>
      <c r="G109" s="28"/>
      <c r="H109" s="28"/>
      <c r="I109" s="28"/>
      <c r="J109" s="28"/>
      <c r="K109" s="181" t="s">
        <v>186</v>
      </c>
    </row>
    <row r="110" spans="1:11">
      <c r="A110" s="133"/>
      <c r="B110" s="30"/>
      <c r="C110" s="28"/>
      <c r="D110" s="28"/>
      <c r="E110" s="28"/>
      <c r="F110" s="28"/>
      <c r="G110" s="28"/>
      <c r="H110" s="28"/>
      <c r="I110" s="28"/>
      <c r="J110" s="28"/>
      <c r="K110" s="181"/>
    </row>
    <row r="111" spans="1:11">
      <c r="A111" s="133"/>
      <c r="B111" s="30" t="s">
        <v>9</v>
      </c>
      <c r="C111" s="28"/>
      <c r="D111" s="31" t="s">
        <v>91</v>
      </c>
      <c r="E111" s="28"/>
      <c r="F111" s="28"/>
      <c r="G111" s="28"/>
      <c r="H111" s="28"/>
      <c r="I111" s="41"/>
      <c r="J111" s="28"/>
      <c r="K111" s="181" t="str">
        <f>K3</f>
        <v>For  the 12 months ended 12/31/2027</v>
      </c>
    </row>
    <row r="112" spans="1:11">
      <c r="A112" s="133"/>
      <c r="B112" s="30"/>
      <c r="C112" s="28"/>
      <c r="D112" s="31" t="s">
        <v>160</v>
      </c>
      <c r="E112" s="28"/>
      <c r="F112" s="28"/>
      <c r="G112" s="28"/>
      <c r="H112" s="28"/>
      <c r="I112" s="28"/>
      <c r="J112" s="28"/>
      <c r="K112" s="28"/>
    </row>
    <row r="113" spans="1:11">
      <c r="A113" s="133"/>
      <c r="B113" s="33"/>
      <c r="C113" s="28"/>
      <c r="D113" s="31" t="str">
        <f>+D56</f>
        <v>Gridliance High Plains LLC</v>
      </c>
      <c r="E113" s="28"/>
      <c r="F113" s="28"/>
      <c r="G113" s="28"/>
      <c r="H113" s="28"/>
      <c r="I113" s="28"/>
      <c r="J113" s="28"/>
      <c r="K113" s="28"/>
    </row>
    <row r="114" spans="1:11">
      <c r="A114" s="962"/>
      <c r="B114" s="962"/>
      <c r="C114" s="962"/>
      <c r="D114" s="962"/>
      <c r="E114" s="962"/>
      <c r="F114" s="962"/>
      <c r="G114" s="962"/>
      <c r="H114" s="962"/>
      <c r="I114" s="962"/>
      <c r="J114" s="962"/>
      <c r="K114" s="962"/>
    </row>
    <row r="115" spans="1:11">
      <c r="A115" s="133"/>
      <c r="B115" s="139" t="s">
        <v>11</v>
      </c>
      <c r="C115" s="139" t="s">
        <v>12</v>
      </c>
      <c r="D115" s="139" t="s">
        <v>13</v>
      </c>
      <c r="E115" s="28" t="s">
        <v>10</v>
      </c>
      <c r="F115" s="28"/>
      <c r="G115" s="138" t="s">
        <v>14</v>
      </c>
      <c r="H115" s="28"/>
      <c r="I115" s="138" t="s">
        <v>15</v>
      </c>
      <c r="J115" s="28"/>
      <c r="K115" s="28"/>
    </row>
    <row r="116" spans="1:11">
      <c r="A116" s="133" t="s">
        <v>16</v>
      </c>
      <c r="B116" s="30"/>
      <c r="C116" s="162"/>
      <c r="D116" s="28"/>
      <c r="E116" s="28"/>
      <c r="F116" s="28"/>
      <c r="G116" s="133"/>
      <c r="H116" s="28"/>
      <c r="I116" s="163" t="s">
        <v>25</v>
      </c>
      <c r="J116" s="28"/>
      <c r="K116" s="163"/>
    </row>
    <row r="117" spans="1:11" ht="13.5" thickBot="1">
      <c r="A117" s="32" t="s">
        <v>18</v>
      </c>
      <c r="B117" s="30"/>
      <c r="C117" s="164" t="s">
        <v>301</v>
      </c>
      <c r="D117" s="163" t="s">
        <v>27</v>
      </c>
      <c r="E117" s="165"/>
      <c r="F117" s="163" t="s">
        <v>28</v>
      </c>
      <c r="G117" s="33"/>
      <c r="H117" s="165"/>
      <c r="I117" s="133" t="s">
        <v>29</v>
      </c>
      <c r="J117" s="28"/>
      <c r="K117" s="163"/>
    </row>
    <row r="118" spans="1:11">
      <c r="A118" s="133"/>
      <c r="B118" s="30" t="s">
        <v>7</v>
      </c>
      <c r="C118" s="28"/>
      <c r="D118" s="28"/>
      <c r="E118" s="28"/>
      <c r="F118" s="28"/>
      <c r="G118" s="28"/>
      <c r="H118" s="28"/>
      <c r="I118" s="28"/>
      <c r="J118" s="28"/>
      <c r="K118" s="28"/>
    </row>
    <row r="119" spans="1:11">
      <c r="A119" s="133">
        <v>1</v>
      </c>
      <c r="B119" s="30" t="s">
        <v>38</v>
      </c>
      <c r="C119" s="28" t="s">
        <v>437</v>
      </c>
      <c r="D119" s="178">
        <f>'5-P3 Support'!C24</f>
        <v>342440.86516408302</v>
      </c>
      <c r="E119" s="28"/>
      <c r="F119" s="28" t="s">
        <v>23</v>
      </c>
      <c r="G119" s="26">
        <f>+I191</f>
        <v>1</v>
      </c>
      <c r="H119" s="39"/>
      <c r="I119" s="18">
        <f t="shared" ref="I119:I129" si="1">+G119*D119</f>
        <v>342440.86516408302</v>
      </c>
      <c r="J119" s="30"/>
      <c r="K119" s="28"/>
    </row>
    <row r="120" spans="1:11">
      <c r="A120" s="148">
        <f>+A119+1</f>
        <v>2</v>
      </c>
      <c r="B120" s="149" t="s">
        <v>156</v>
      </c>
      <c r="C120" s="28" t="s">
        <v>438</v>
      </c>
      <c r="D120" s="178">
        <f>'5-P3 Support'!D24</f>
        <v>0</v>
      </c>
      <c r="E120" s="151"/>
      <c r="F120" s="151" t="str">
        <f>+F119</f>
        <v>TP</v>
      </c>
      <c r="G120" s="142">
        <f>+G119</f>
        <v>1</v>
      </c>
      <c r="H120" s="151"/>
      <c r="I120" s="178">
        <f>+G120*D120</f>
        <v>0</v>
      </c>
      <c r="K120" s="28"/>
    </row>
    <row r="121" spans="1:11">
      <c r="A121" s="148">
        <f t="shared" ref="A121:A167" si="2">+A120+1</f>
        <v>3</v>
      </c>
      <c r="B121" s="30" t="s">
        <v>39</v>
      </c>
      <c r="C121" s="28" t="s">
        <v>439</v>
      </c>
      <c r="D121" s="178">
        <f>'5-P3 Support'!E24</f>
        <v>0</v>
      </c>
      <c r="E121" s="28"/>
      <c r="F121" s="28" t="str">
        <f>+F120</f>
        <v>TP</v>
      </c>
      <c r="G121" s="26">
        <f>+G120</f>
        <v>1</v>
      </c>
      <c r="H121" s="39"/>
      <c r="I121" s="18">
        <f t="shared" si="1"/>
        <v>0</v>
      </c>
      <c r="J121" s="30"/>
      <c r="K121" s="28"/>
    </row>
    <row r="122" spans="1:11">
      <c r="A122" s="148">
        <f t="shared" si="2"/>
        <v>4</v>
      </c>
      <c r="B122" s="30" t="s">
        <v>40</v>
      </c>
      <c r="C122" s="28" t="s">
        <v>440</v>
      </c>
      <c r="D122" s="178">
        <f>'5-P3 Support'!F24</f>
        <v>428745.45477056876</v>
      </c>
      <c r="E122" s="28"/>
      <c r="F122" s="28" t="s">
        <v>32</v>
      </c>
      <c r="G122" s="26">
        <f>+G74</f>
        <v>1</v>
      </c>
      <c r="H122" s="39"/>
      <c r="I122" s="18">
        <f t="shared" si="1"/>
        <v>428745.45477056876</v>
      </c>
      <c r="J122" s="28"/>
      <c r="K122" s="28" t="s">
        <v>10</v>
      </c>
    </row>
    <row r="123" spans="1:11">
      <c r="A123" s="148">
        <f t="shared" si="2"/>
        <v>5</v>
      </c>
      <c r="B123" s="30" t="s">
        <v>187</v>
      </c>
      <c r="C123" s="28" t="s">
        <v>398</v>
      </c>
      <c r="D123" s="178">
        <f>'5-P3 Support'!G24</f>
        <v>0</v>
      </c>
      <c r="E123" s="28"/>
      <c r="F123" s="28" t="s">
        <v>32</v>
      </c>
      <c r="G123" s="26">
        <f>+G122</f>
        <v>1</v>
      </c>
      <c r="H123" s="39"/>
      <c r="I123" s="18">
        <f t="shared" si="1"/>
        <v>0</v>
      </c>
      <c r="J123" s="28"/>
      <c r="K123" s="28"/>
    </row>
    <row r="124" spans="1:11">
      <c r="A124" s="148">
        <f t="shared" si="2"/>
        <v>6</v>
      </c>
      <c r="B124" s="30" t="s">
        <v>323</v>
      </c>
      <c r="C124" s="28" t="s">
        <v>435</v>
      </c>
      <c r="D124" s="178">
        <f>'5-P3 Support'!H24</f>
        <v>0</v>
      </c>
      <c r="E124" s="28"/>
      <c r="F124" s="28" t="s">
        <v>32</v>
      </c>
      <c r="G124" s="26">
        <f>+G123</f>
        <v>1</v>
      </c>
      <c r="H124" s="39"/>
      <c r="I124" s="18">
        <f t="shared" si="1"/>
        <v>0</v>
      </c>
      <c r="J124" s="28"/>
      <c r="K124" s="28"/>
    </row>
    <row r="125" spans="1:11" s="14" customFormat="1">
      <c r="A125" s="148" t="s">
        <v>309</v>
      </c>
      <c r="B125" s="30" t="s">
        <v>310</v>
      </c>
      <c r="C125" s="28" t="s">
        <v>588</v>
      </c>
      <c r="D125" s="189">
        <f>+'7 - PBOP'!I16</f>
        <v>0</v>
      </c>
      <c r="E125" s="117"/>
      <c r="F125" s="28" t="s">
        <v>32</v>
      </c>
      <c r="G125" s="26">
        <f>+G124</f>
        <v>1</v>
      </c>
      <c r="H125" s="39"/>
      <c r="I125" s="18">
        <f>+G125*D125</f>
        <v>0</v>
      </c>
      <c r="J125" s="117"/>
      <c r="K125" s="117"/>
    </row>
    <row r="126" spans="1:11">
      <c r="A126" s="148">
        <f>+A124+1</f>
        <v>7</v>
      </c>
      <c r="B126" s="30" t="s">
        <v>322</v>
      </c>
      <c r="C126" s="28" t="s">
        <v>565</v>
      </c>
      <c r="D126" s="178">
        <f>'5-P3 Support'!I24</f>
        <v>0</v>
      </c>
      <c r="E126" s="28"/>
      <c r="F126" s="182" t="s">
        <v>23</v>
      </c>
      <c r="G126" s="142">
        <f>+G119</f>
        <v>1</v>
      </c>
      <c r="H126" s="39"/>
      <c r="I126" s="18">
        <f t="shared" si="1"/>
        <v>0</v>
      </c>
      <c r="J126" s="28"/>
      <c r="K126" s="28"/>
    </row>
    <row r="127" spans="1:11" s="14" customFormat="1">
      <c r="A127" s="148" t="s">
        <v>311</v>
      </c>
      <c r="B127" s="30" t="s">
        <v>312</v>
      </c>
      <c r="C127" s="28" t="s">
        <v>589</v>
      </c>
      <c r="D127" s="189">
        <f>+'7 - PBOP'!I13</f>
        <v>0</v>
      </c>
      <c r="E127" s="117"/>
      <c r="F127" s="28" t="s">
        <v>32</v>
      </c>
      <c r="G127" s="26">
        <f>+G125</f>
        <v>1</v>
      </c>
      <c r="H127" s="39"/>
      <c r="I127" s="18">
        <f>+G127*D127</f>
        <v>0</v>
      </c>
      <c r="J127" s="117"/>
      <c r="K127" s="117"/>
    </row>
    <row r="128" spans="1:11">
      <c r="A128" s="148">
        <f>+A126+1</f>
        <v>8</v>
      </c>
      <c r="B128" s="30" t="s">
        <v>422</v>
      </c>
      <c r="C128" s="28" t="s">
        <v>182</v>
      </c>
      <c r="D128" s="644">
        <v>0</v>
      </c>
      <c r="E128" s="28"/>
      <c r="F128" s="28" t="s">
        <v>183</v>
      </c>
      <c r="G128" s="26">
        <f>+G75</f>
        <v>1</v>
      </c>
      <c r="H128" s="39"/>
      <c r="I128" s="18">
        <f t="shared" si="1"/>
        <v>0</v>
      </c>
      <c r="J128" s="28"/>
      <c r="K128" s="28"/>
    </row>
    <row r="129" spans="1:11">
      <c r="A129" s="148">
        <f t="shared" si="2"/>
        <v>9</v>
      </c>
      <c r="B129" s="30" t="s">
        <v>41</v>
      </c>
      <c r="C129" s="28" t="s">
        <v>566</v>
      </c>
      <c r="D129" s="48">
        <f>'5-P3 Support'!J24</f>
        <v>0</v>
      </c>
      <c r="E129" s="28"/>
      <c r="F129" s="28" t="str">
        <f>+F131</f>
        <v>DA</v>
      </c>
      <c r="G129" s="183">
        <v>1</v>
      </c>
      <c r="H129" s="39"/>
      <c r="I129" s="37">
        <f t="shared" si="1"/>
        <v>0</v>
      </c>
      <c r="J129" s="28"/>
      <c r="K129" s="28"/>
    </row>
    <row r="130" spans="1:11">
      <c r="A130" s="148">
        <f t="shared" si="2"/>
        <v>10</v>
      </c>
      <c r="B130" s="149" t="s">
        <v>157</v>
      </c>
      <c r="C130" s="151"/>
      <c r="D130" s="48"/>
      <c r="E130" s="151"/>
      <c r="F130" s="151"/>
      <c r="G130" s="184"/>
      <c r="H130" s="151"/>
      <c r="I130" s="48"/>
      <c r="K130" s="28"/>
    </row>
    <row r="131" spans="1:11">
      <c r="A131" s="148">
        <f t="shared" si="2"/>
        <v>11</v>
      </c>
      <c r="B131" s="149" t="s">
        <v>159</v>
      </c>
      <c r="C131" s="151" t="s">
        <v>567</v>
      </c>
      <c r="D131" s="48">
        <f>'5-P3 Support'!K24</f>
        <v>0</v>
      </c>
      <c r="E131" s="151"/>
      <c r="F131" s="151" t="s">
        <v>97</v>
      </c>
      <c r="G131" s="185">
        <v>1</v>
      </c>
      <c r="H131" s="151"/>
      <c r="I131" s="48">
        <f>+G131*D131</f>
        <v>0</v>
      </c>
      <c r="K131" s="28"/>
    </row>
    <row r="132" spans="1:11">
      <c r="A132" s="148">
        <f t="shared" si="2"/>
        <v>12</v>
      </c>
      <c r="B132" s="149" t="s">
        <v>590</v>
      </c>
      <c r="C132" s="28" t="s">
        <v>568</v>
      </c>
      <c r="D132" s="48">
        <f>'5-P3 Support'!L24</f>
        <v>0</v>
      </c>
      <c r="E132" s="151"/>
      <c r="F132" s="151" t="s">
        <v>23</v>
      </c>
      <c r="G132" s="185">
        <f>+G119</f>
        <v>1</v>
      </c>
      <c r="H132" s="151"/>
      <c r="I132" s="48">
        <f>+G132*D132</f>
        <v>0</v>
      </c>
      <c r="K132" s="28"/>
    </row>
    <row r="133" spans="1:11" ht="13.5" thickBot="1">
      <c r="A133" s="148">
        <f t="shared" si="2"/>
        <v>13</v>
      </c>
      <c r="B133" s="149" t="s">
        <v>158</v>
      </c>
      <c r="C133" s="151" t="s">
        <v>707</v>
      </c>
      <c r="D133" s="186">
        <f>SUM(D131:D132)</f>
        <v>0</v>
      </c>
      <c r="E133" s="151"/>
      <c r="F133" s="151"/>
      <c r="G133" s="185"/>
      <c r="H133" s="151"/>
      <c r="I133" s="186">
        <f>SUM(I131:I132)</f>
        <v>0</v>
      </c>
      <c r="K133" s="28"/>
    </row>
    <row r="134" spans="1:11">
      <c r="A134" s="148">
        <f t="shared" si="2"/>
        <v>14</v>
      </c>
      <c r="B134" s="187" t="s">
        <v>345</v>
      </c>
      <c r="C134" s="118" t="s">
        <v>436</v>
      </c>
      <c r="D134" s="18">
        <f>+D119-D121-D120+D122-D123-D124-D125+D126+D127+D128+D129+D133</f>
        <v>771186.31993465172</v>
      </c>
      <c r="E134" s="18"/>
      <c r="F134" s="18"/>
      <c r="G134" s="18"/>
      <c r="H134" s="18"/>
      <c r="I134" s="18">
        <f>+I119-I121-I120+I122-I123-I124-I125+I126+I127+I128+I129+I133</f>
        <v>771186.31993465172</v>
      </c>
      <c r="J134" s="28"/>
      <c r="K134" s="28"/>
    </row>
    <row r="135" spans="1:11">
      <c r="A135" s="148"/>
      <c r="B135" s="33"/>
      <c r="C135" s="28"/>
      <c r="D135" s="18"/>
      <c r="E135" s="18"/>
      <c r="F135" s="18"/>
      <c r="G135" s="18"/>
      <c r="H135" s="18"/>
      <c r="I135" s="18"/>
      <c r="J135" s="28"/>
      <c r="K135" s="28"/>
    </row>
    <row r="136" spans="1:11">
      <c r="A136" s="148">
        <f>+A134+1</f>
        <v>15</v>
      </c>
      <c r="B136" s="30" t="s">
        <v>570</v>
      </c>
      <c r="C136" s="28"/>
      <c r="D136" s="18"/>
      <c r="E136" s="18"/>
      <c r="F136" s="18"/>
      <c r="G136" s="18"/>
      <c r="H136" s="18"/>
      <c r="I136" s="18"/>
      <c r="J136" s="28"/>
      <c r="K136" s="28"/>
    </row>
    <row r="137" spans="1:11">
      <c r="A137" s="148">
        <f t="shared" si="2"/>
        <v>16</v>
      </c>
      <c r="B137" s="30" t="s">
        <v>38</v>
      </c>
      <c r="C137" s="177" t="s">
        <v>708</v>
      </c>
      <c r="D137" s="178">
        <f>'5-P3 Support'!M24</f>
        <v>397042.23811293131</v>
      </c>
      <c r="E137" s="18"/>
      <c r="F137" s="18" t="s">
        <v>23</v>
      </c>
      <c r="G137" s="18">
        <f>+G98</f>
        <v>1</v>
      </c>
      <c r="H137" s="18"/>
      <c r="I137" s="18">
        <f>+G137*D137</f>
        <v>397042.23811293131</v>
      </c>
      <c r="J137" s="28"/>
      <c r="K137" s="171"/>
    </row>
    <row r="138" spans="1:11">
      <c r="A138" s="148">
        <f t="shared" si="2"/>
        <v>17</v>
      </c>
      <c r="B138" s="188" t="s">
        <v>125</v>
      </c>
      <c r="C138" s="177" t="s">
        <v>710</v>
      </c>
      <c r="D138" s="178">
        <f>'5-P3 Support'!C45</f>
        <v>160.60718830781821</v>
      </c>
      <c r="E138" s="18"/>
      <c r="F138" s="18" t="s">
        <v>32</v>
      </c>
      <c r="G138" s="18">
        <f>+G122</f>
        <v>1</v>
      </c>
      <c r="H138" s="18"/>
      <c r="I138" s="18">
        <f>+G138*D138</f>
        <v>160.60718830781821</v>
      </c>
      <c r="J138" s="28"/>
      <c r="K138" s="171"/>
    </row>
    <row r="139" spans="1:11">
      <c r="A139" s="148">
        <f t="shared" si="2"/>
        <v>18</v>
      </c>
      <c r="B139" s="30" t="s">
        <v>422</v>
      </c>
      <c r="C139" s="177" t="s">
        <v>709</v>
      </c>
      <c r="D139" s="173">
        <v>0</v>
      </c>
      <c r="E139" s="37"/>
      <c r="F139" s="37" t="s">
        <v>183</v>
      </c>
      <c r="G139" s="37">
        <f>+G128</f>
        <v>1</v>
      </c>
      <c r="H139" s="37"/>
      <c r="I139" s="37">
        <f>+G139*D139</f>
        <v>0</v>
      </c>
      <c r="J139" s="28"/>
      <c r="K139" s="171"/>
    </row>
    <row r="140" spans="1:11" ht="13.5" thickBot="1">
      <c r="A140" s="148">
        <f t="shared" si="2"/>
        <v>19</v>
      </c>
      <c r="B140" s="149" t="s">
        <v>131</v>
      </c>
      <c r="C140" s="28" t="s">
        <v>441</v>
      </c>
      <c r="D140" s="186">
        <f>'5-P3 Support'!D45</f>
        <v>0</v>
      </c>
      <c r="E140" s="18"/>
      <c r="F140" s="18" t="s">
        <v>97</v>
      </c>
      <c r="G140" s="183">
        <v>1</v>
      </c>
      <c r="H140" s="18"/>
      <c r="I140" s="169">
        <f>+G140*D140</f>
        <v>0</v>
      </c>
      <c r="J140" s="28"/>
      <c r="K140" s="171"/>
    </row>
    <row r="141" spans="1:11">
      <c r="A141" s="148">
        <f t="shared" si="2"/>
        <v>20</v>
      </c>
      <c r="B141" s="30" t="s">
        <v>325</v>
      </c>
      <c r="C141" s="28" t="s">
        <v>324</v>
      </c>
      <c r="D141" s="18">
        <f>SUM(D137:D140)</f>
        <v>397202.84530123911</v>
      </c>
      <c r="E141" s="18"/>
      <c r="F141" s="18"/>
      <c r="G141" s="18"/>
      <c r="H141" s="18"/>
      <c r="I141" s="18">
        <f>SUM(I137:I140)</f>
        <v>397202.84530123911</v>
      </c>
      <c r="J141" s="28"/>
      <c r="K141" s="28"/>
    </row>
    <row r="142" spans="1:11">
      <c r="A142" s="148"/>
      <c r="B142" s="30"/>
      <c r="C142" s="28"/>
      <c r="D142" s="18"/>
      <c r="E142" s="18"/>
      <c r="F142" s="18"/>
      <c r="G142" s="18"/>
      <c r="H142" s="18"/>
      <c r="I142" s="18"/>
      <c r="J142" s="28"/>
      <c r="K142" s="28"/>
    </row>
    <row r="143" spans="1:11">
      <c r="A143" s="148">
        <f>+A141+1</f>
        <v>21</v>
      </c>
      <c r="B143" s="30" t="s">
        <v>326</v>
      </c>
      <c r="C143" s="33" t="s">
        <v>249</v>
      </c>
      <c r="D143" s="18"/>
      <c r="E143" s="18"/>
      <c r="F143" s="18"/>
      <c r="G143" s="18"/>
      <c r="H143" s="18"/>
      <c r="I143" s="18"/>
      <c r="J143" s="28"/>
      <c r="K143" s="28"/>
    </row>
    <row r="144" spans="1:11">
      <c r="A144" s="148">
        <f t="shared" si="2"/>
        <v>22</v>
      </c>
      <c r="B144" s="30" t="s">
        <v>42</v>
      </c>
      <c r="C144" s="33"/>
      <c r="D144" s="18"/>
      <c r="E144" s="18"/>
      <c r="F144" s="18"/>
      <c r="G144" s="18"/>
      <c r="H144" s="18"/>
      <c r="I144" s="18"/>
      <c r="J144" s="28"/>
      <c r="K144" s="171"/>
    </row>
    <row r="145" spans="1:11">
      <c r="A145" s="148">
        <f t="shared" si="2"/>
        <v>23</v>
      </c>
      <c r="B145" s="30" t="s">
        <v>43</v>
      </c>
      <c r="C145" s="28" t="s">
        <v>442</v>
      </c>
      <c r="D145" s="178">
        <f>'5-P3 Support'!E45</f>
        <v>0</v>
      </c>
      <c r="E145" s="18"/>
      <c r="F145" s="18" t="s">
        <v>32</v>
      </c>
      <c r="G145" s="18">
        <f>+G138</f>
        <v>1</v>
      </c>
      <c r="H145" s="18"/>
      <c r="I145" s="18">
        <f>+G145*D145</f>
        <v>0</v>
      </c>
      <c r="J145" s="28"/>
      <c r="K145" s="171"/>
    </row>
    <row r="146" spans="1:11">
      <c r="A146" s="148">
        <f t="shared" si="2"/>
        <v>24</v>
      </c>
      <c r="B146" s="30" t="s">
        <v>44</v>
      </c>
      <c r="C146" s="28" t="s">
        <v>443</v>
      </c>
      <c r="D146" s="178">
        <f>'5-P3 Support'!F45</f>
        <v>0</v>
      </c>
      <c r="E146" s="18"/>
      <c r="F146" s="18" t="s">
        <v>32</v>
      </c>
      <c r="G146" s="18">
        <f>+G145</f>
        <v>1</v>
      </c>
      <c r="H146" s="18"/>
      <c r="I146" s="18">
        <f>+G146*D146</f>
        <v>0</v>
      </c>
      <c r="J146" s="28"/>
      <c r="K146" s="171"/>
    </row>
    <row r="147" spans="1:11">
      <c r="A147" s="148">
        <f t="shared" si="2"/>
        <v>25</v>
      </c>
      <c r="B147" s="30" t="s">
        <v>45</v>
      </c>
      <c r="C147" s="28" t="s">
        <v>10</v>
      </c>
      <c r="D147" s="18"/>
      <c r="E147" s="18"/>
      <c r="F147" s="18"/>
      <c r="G147" s="18"/>
      <c r="H147" s="18"/>
      <c r="I147" s="18"/>
      <c r="J147" s="28"/>
      <c r="K147" s="171"/>
    </row>
    <row r="148" spans="1:11">
      <c r="A148" s="148">
        <f t="shared" si="2"/>
        <v>26</v>
      </c>
      <c r="B148" s="30" t="s">
        <v>46</v>
      </c>
      <c r="C148" s="28" t="s">
        <v>444</v>
      </c>
      <c r="D148" s="178">
        <f>'5-P3 Support'!G45</f>
        <v>274801.85203399457</v>
      </c>
      <c r="E148" s="18"/>
      <c r="F148" s="18" t="s">
        <v>37</v>
      </c>
      <c r="G148" s="18">
        <f>+G68</f>
        <v>1</v>
      </c>
      <c r="H148" s="18"/>
      <c r="I148" s="18">
        <f>+G148*D148</f>
        <v>274801.85203399457</v>
      </c>
      <c r="J148" s="28"/>
      <c r="K148" s="171"/>
    </row>
    <row r="149" spans="1:11">
      <c r="A149" s="148">
        <f t="shared" si="2"/>
        <v>27</v>
      </c>
      <c r="B149" s="30" t="s">
        <v>47</v>
      </c>
      <c r="C149" s="28" t="s">
        <v>445</v>
      </c>
      <c r="D149" s="178">
        <f>'5-P3 Support'!H45</f>
        <v>0</v>
      </c>
      <c r="E149" s="18"/>
      <c r="F149" s="178" t="s">
        <v>30</v>
      </c>
      <c r="G149" s="189">
        <v>0</v>
      </c>
      <c r="H149" s="178"/>
      <c r="I149" s="178">
        <f>+G149*D149</f>
        <v>0</v>
      </c>
      <c r="J149" s="28"/>
      <c r="K149" s="171"/>
    </row>
    <row r="150" spans="1:11">
      <c r="A150" s="148">
        <f t="shared" si="2"/>
        <v>28</v>
      </c>
      <c r="B150" s="30" t="s">
        <v>48</v>
      </c>
      <c r="C150" s="28" t="s">
        <v>446</v>
      </c>
      <c r="D150" s="178">
        <f>'5-P3 Support'!I45</f>
        <v>0</v>
      </c>
      <c r="E150" s="18"/>
      <c r="F150" s="18" t="s">
        <v>37</v>
      </c>
      <c r="G150" s="18">
        <f>+G148</f>
        <v>1</v>
      </c>
      <c r="H150" s="18"/>
      <c r="I150" s="18">
        <f>+G150*D150</f>
        <v>0</v>
      </c>
      <c r="J150" s="28"/>
      <c r="K150" s="171"/>
    </row>
    <row r="151" spans="1:11" ht="13.5" thickBot="1">
      <c r="A151" s="148">
        <f t="shared" si="2"/>
        <v>29</v>
      </c>
      <c r="B151" s="30" t="s">
        <v>49</v>
      </c>
      <c r="C151" s="28" t="s">
        <v>869</v>
      </c>
      <c r="D151" s="186">
        <f>'5-P3 Support'!J45</f>
        <v>0</v>
      </c>
      <c r="E151" s="18"/>
      <c r="F151" s="18" t="s">
        <v>37</v>
      </c>
      <c r="G151" s="18">
        <f>+G148</f>
        <v>1</v>
      </c>
      <c r="H151" s="18"/>
      <c r="I151" s="169">
        <f>+G151*D151</f>
        <v>0</v>
      </c>
      <c r="J151" s="28"/>
      <c r="K151" s="171"/>
    </row>
    <row r="152" spans="1:11">
      <c r="A152" s="148">
        <f t="shared" si="2"/>
        <v>30</v>
      </c>
      <c r="B152" s="30" t="s">
        <v>328</v>
      </c>
      <c r="C152" s="28" t="s">
        <v>327</v>
      </c>
      <c r="D152" s="18">
        <f>SUM(D145:D151)</f>
        <v>274801.85203399457</v>
      </c>
      <c r="E152" s="18"/>
      <c r="F152" s="18"/>
      <c r="G152" s="18"/>
      <c r="H152" s="18"/>
      <c r="I152" s="18">
        <f>SUM(I145:I151)</f>
        <v>274801.85203399457</v>
      </c>
      <c r="J152" s="28"/>
      <c r="K152" s="28"/>
    </row>
    <row r="153" spans="1:11">
      <c r="A153" s="148"/>
      <c r="B153" s="30"/>
      <c r="C153" s="28"/>
      <c r="D153" s="28"/>
      <c r="E153" s="28"/>
      <c r="F153" s="28"/>
      <c r="G153" s="144"/>
      <c r="H153" s="28"/>
      <c r="I153" s="28"/>
      <c r="J153" s="28"/>
      <c r="K153" s="28"/>
    </row>
    <row r="154" spans="1:11">
      <c r="A154" s="148">
        <f>+A152+1</f>
        <v>31</v>
      </c>
      <c r="B154" s="30" t="s">
        <v>50</v>
      </c>
      <c r="C154" s="28" t="str">
        <f>"(Note "&amp;A$258&amp;")"</f>
        <v>(Note G)</v>
      </c>
      <c r="D154" s="28"/>
      <c r="E154" s="28"/>
      <c r="F154" s="33"/>
      <c r="G154" s="35"/>
      <c r="H154" s="28"/>
      <c r="I154" s="33"/>
      <c r="J154" s="28"/>
      <c r="K154" s="33"/>
    </row>
    <row r="155" spans="1:11">
      <c r="A155" s="148">
        <f t="shared" si="2"/>
        <v>32</v>
      </c>
      <c r="B155" s="36" t="s">
        <v>934</v>
      </c>
      <c r="C155" s="28" t="s">
        <v>1118</v>
      </c>
      <c r="D155" s="197">
        <f>IF(D259&gt;0,1-(((1-D260)*(1-D259))/(1-D260*D259*D261)),0)</f>
        <v>0.24160000000000004</v>
      </c>
      <c r="E155" s="28"/>
      <c r="F155" s="33"/>
      <c r="G155" s="35"/>
      <c r="H155" s="28"/>
      <c r="I155" s="33"/>
      <c r="J155" s="28"/>
      <c r="K155" s="33"/>
    </row>
    <row r="156" spans="1:11">
      <c r="A156" s="148">
        <f t="shared" si="2"/>
        <v>33</v>
      </c>
      <c r="B156" s="33" t="s">
        <v>51</v>
      </c>
      <c r="C156" s="28" t="s">
        <v>1119</v>
      </c>
      <c r="D156" s="197">
        <f>IF(I210&gt;0,(D155/(1-D155))*(1-I210/I213),0)</f>
        <v>0.2294561978106282</v>
      </c>
      <c r="E156" s="28"/>
      <c r="F156" s="33"/>
      <c r="G156" s="35"/>
      <c r="H156" s="28"/>
      <c r="I156" s="33"/>
      <c r="J156" s="28"/>
      <c r="K156" s="33"/>
    </row>
    <row r="157" spans="1:11">
      <c r="A157" s="148">
        <f t="shared" si="2"/>
        <v>34</v>
      </c>
      <c r="B157" s="30" t="s">
        <v>368</v>
      </c>
      <c r="C157" s="28" t="s">
        <v>369</v>
      </c>
      <c r="D157" s="28"/>
      <c r="E157" s="28"/>
      <c r="F157" s="33"/>
      <c r="G157" s="35"/>
      <c r="H157" s="28"/>
      <c r="I157" s="33"/>
      <c r="J157" s="28"/>
      <c r="K157" s="33"/>
    </row>
    <row r="158" spans="1:11">
      <c r="A158" s="148">
        <f t="shared" si="2"/>
        <v>35</v>
      </c>
      <c r="B158" s="30"/>
      <c r="D158" s="28"/>
      <c r="E158" s="28"/>
      <c r="F158" s="33"/>
      <c r="G158" s="35"/>
      <c r="H158" s="28"/>
      <c r="I158" s="33"/>
      <c r="J158" s="28"/>
      <c r="K158" s="33"/>
    </row>
    <row r="159" spans="1:11">
      <c r="A159" s="148">
        <f>+A158+1</f>
        <v>36</v>
      </c>
      <c r="B159" s="36" t="str">
        <f>"      1 / (1 - T)  =  (from line "&amp;A155&amp;")"</f>
        <v xml:space="preserve">      1 / (1 - T)  =  (from line 32)</v>
      </c>
      <c r="C159" s="28"/>
      <c r="D159" s="197">
        <f>IF(D155=0,0,1/(1-D155))</f>
        <v>1.3185654008438819</v>
      </c>
      <c r="E159" s="28"/>
      <c r="F159" s="33"/>
      <c r="G159" s="35"/>
      <c r="H159" s="28"/>
      <c r="I159" s="18"/>
      <c r="J159" s="28"/>
      <c r="K159" s="33"/>
    </row>
    <row r="160" spans="1:11">
      <c r="A160" s="148">
        <f t="shared" si="2"/>
        <v>37</v>
      </c>
      <c r="B160" s="30" t="s">
        <v>363</v>
      </c>
      <c r="C160" s="28" t="s">
        <v>447</v>
      </c>
      <c r="D160" s="178">
        <f>-'5-P3 Support'!K45</f>
        <v>0</v>
      </c>
      <c r="E160" s="28"/>
      <c r="F160" s="33"/>
      <c r="G160" s="35"/>
      <c r="H160" s="28"/>
      <c r="I160" s="18"/>
      <c r="J160" s="28"/>
      <c r="K160" s="33"/>
    </row>
    <row r="161" spans="1:11">
      <c r="A161" s="148">
        <f t="shared" si="2"/>
        <v>38</v>
      </c>
      <c r="B161" s="30" t="s">
        <v>982</v>
      </c>
      <c r="C161" s="28" t="s">
        <v>983</v>
      </c>
      <c r="D161" s="178">
        <f>-'5-P3 Support'!L45</f>
        <v>-406.68736057855239</v>
      </c>
      <c r="E161" s="28"/>
      <c r="F161" s="33"/>
      <c r="G161" s="37"/>
      <c r="H161" s="28"/>
      <c r="I161" s="18"/>
      <c r="J161" s="28"/>
      <c r="K161" s="33"/>
    </row>
    <row r="162" spans="1:11">
      <c r="A162" s="148">
        <f t="shared" si="2"/>
        <v>39</v>
      </c>
      <c r="B162" s="30" t="s">
        <v>469</v>
      </c>
      <c r="C162" s="28" t="s">
        <v>478</v>
      </c>
      <c r="D162" s="178">
        <f>+'5-P3 Support'!M45</f>
        <v>1375.8344856217429</v>
      </c>
      <c r="E162" s="28"/>
      <c r="F162" s="33"/>
      <c r="G162" s="35"/>
      <c r="H162" s="28"/>
      <c r="I162" s="18"/>
      <c r="J162" s="28"/>
      <c r="K162" s="33"/>
    </row>
    <row r="163" spans="1:11">
      <c r="A163" s="148">
        <f t="shared" si="2"/>
        <v>40</v>
      </c>
      <c r="B163" s="36" t="s">
        <v>364</v>
      </c>
      <c r="C163" s="38" t="s">
        <v>1121</v>
      </c>
      <c r="D163" s="364">
        <f>D156*D170</f>
        <v>275453.82584363036</v>
      </c>
      <c r="E163" s="39"/>
      <c r="F163" s="39" t="s">
        <v>30</v>
      </c>
      <c r="G163" s="40"/>
      <c r="H163" s="39"/>
      <c r="I163" s="364">
        <f>D163</f>
        <v>275453.82584363036</v>
      </c>
      <c r="J163" s="28"/>
      <c r="K163" s="143" t="s">
        <v>10</v>
      </c>
    </row>
    <row r="164" spans="1:11">
      <c r="A164" s="148">
        <f t="shared" si="2"/>
        <v>41</v>
      </c>
      <c r="B164" s="33" t="s">
        <v>365</v>
      </c>
      <c r="C164" s="38" t="s">
        <v>361</v>
      </c>
      <c r="D164" s="364">
        <f>+D$159*D160</f>
        <v>0</v>
      </c>
      <c r="E164" s="39"/>
      <c r="F164" s="41" t="s">
        <v>36</v>
      </c>
      <c r="G164" s="26">
        <f>G84</f>
        <v>1</v>
      </c>
      <c r="H164" s="39"/>
      <c r="I164" s="364">
        <f>+G164*D164</f>
        <v>0</v>
      </c>
      <c r="J164" s="28"/>
      <c r="K164" s="143"/>
    </row>
    <row r="165" spans="1:11">
      <c r="A165" s="148">
        <f t="shared" si="2"/>
        <v>42</v>
      </c>
      <c r="B165" s="33" t="s">
        <v>984</v>
      </c>
      <c r="C165" s="38" t="s">
        <v>359</v>
      </c>
      <c r="D165" s="364">
        <f>+D$159*D161</f>
        <v>-536.24388261939919</v>
      </c>
      <c r="E165" s="39"/>
      <c r="F165" s="41" t="s">
        <v>36</v>
      </c>
      <c r="G165" s="26">
        <f>G164</f>
        <v>1</v>
      </c>
      <c r="H165" s="39"/>
      <c r="I165" s="364">
        <f>+G165*D165</f>
        <v>-536.24388261939919</v>
      </c>
      <c r="J165" s="28"/>
      <c r="K165" s="143"/>
    </row>
    <row r="166" spans="1:11" ht="13.5" thickBot="1">
      <c r="A166" s="148">
        <f t="shared" si="2"/>
        <v>43</v>
      </c>
      <c r="B166" s="33" t="s">
        <v>188</v>
      </c>
      <c r="C166" s="38" t="s">
        <v>360</v>
      </c>
      <c r="D166" s="365">
        <f>+D$159*D162</f>
        <v>1814.1277500286694</v>
      </c>
      <c r="E166" s="39"/>
      <c r="F166" s="41" t="s">
        <v>36</v>
      </c>
      <c r="G166" s="26">
        <f>G165</f>
        <v>1</v>
      </c>
      <c r="H166" s="39"/>
      <c r="I166" s="365">
        <f>+G166*D166</f>
        <v>1814.1277500286694</v>
      </c>
      <c r="J166" s="28"/>
      <c r="K166" s="143"/>
    </row>
    <row r="167" spans="1:11">
      <c r="A167" s="148">
        <f t="shared" si="2"/>
        <v>44</v>
      </c>
      <c r="B167" s="43" t="s">
        <v>366</v>
      </c>
      <c r="C167" s="33" t="s">
        <v>362</v>
      </c>
      <c r="D167" s="189">
        <f>SUM(D163:D166)</f>
        <v>276731.70971103961</v>
      </c>
      <c r="E167" s="39"/>
      <c r="F167" s="39" t="s">
        <v>10</v>
      </c>
      <c r="G167" s="40" t="s">
        <v>10</v>
      </c>
      <c r="H167" s="39"/>
      <c r="I167" s="189">
        <f>SUM(I163:I166)</f>
        <v>276731.70971103961</v>
      </c>
      <c r="J167" s="28"/>
      <c r="K167" s="28"/>
    </row>
    <row r="168" spans="1:11">
      <c r="A168" s="148"/>
      <c r="B168" s="33"/>
      <c r="C168" s="190"/>
      <c r="D168" s="18"/>
      <c r="E168" s="28"/>
      <c r="F168" s="28"/>
      <c r="G168" s="144"/>
      <c r="H168" s="28"/>
      <c r="I168" s="18"/>
      <c r="J168" s="28"/>
      <c r="K168" s="28"/>
    </row>
    <row r="169" spans="1:11">
      <c r="A169" s="148">
        <f>+A167+1</f>
        <v>45</v>
      </c>
      <c r="B169" s="30" t="s">
        <v>53</v>
      </c>
      <c r="J169" s="28"/>
      <c r="K169" s="33"/>
    </row>
    <row r="170" spans="1:11">
      <c r="A170" s="148">
        <f>A169+1</f>
        <v>46</v>
      </c>
      <c r="B170" s="43" t="s">
        <v>487</v>
      </c>
      <c r="C170" s="36" t="s">
        <v>367</v>
      </c>
      <c r="D170" s="18">
        <f>+$I213*D106</f>
        <v>1200463.654814695</v>
      </c>
      <c r="E170" s="39"/>
      <c r="F170" s="39" t="s">
        <v>30</v>
      </c>
      <c r="G170" s="191"/>
      <c r="H170" s="39"/>
      <c r="I170" s="18">
        <f>+$I213*I106</f>
        <v>1200463.654814695</v>
      </c>
      <c r="K170" s="171"/>
    </row>
    <row r="171" spans="1:11">
      <c r="A171" s="148"/>
      <c r="B171" s="30"/>
      <c r="C171" s="33"/>
      <c r="D171" s="37"/>
      <c r="E171" s="39"/>
      <c r="F171" s="39"/>
      <c r="G171" s="191"/>
      <c r="H171" s="39"/>
      <c r="I171" s="37"/>
      <c r="J171" s="28"/>
      <c r="K171" s="171"/>
    </row>
    <row r="172" spans="1:11" ht="13.5" thickBot="1">
      <c r="A172" s="148">
        <f>A170+1</f>
        <v>47</v>
      </c>
      <c r="B172" s="30" t="s">
        <v>371</v>
      </c>
      <c r="C172" s="28" t="s">
        <v>370</v>
      </c>
      <c r="D172" s="192">
        <f>+D170+D167+D152+D141+D134</f>
        <v>2920386.3817956201</v>
      </c>
      <c r="E172" s="39"/>
      <c r="F172" s="39"/>
      <c r="G172" s="39"/>
      <c r="H172" s="39"/>
      <c r="I172" s="192">
        <f>+I170+I167+I152+I141+I134</f>
        <v>2920386.3817956201</v>
      </c>
      <c r="J172" s="30"/>
      <c r="K172" s="30"/>
    </row>
    <row r="173" spans="1:11" ht="13.5" thickTop="1">
      <c r="A173" s="148"/>
      <c r="B173" s="30"/>
      <c r="C173" s="28"/>
      <c r="D173" s="39"/>
      <c r="E173" s="39"/>
      <c r="F173" s="39"/>
      <c r="G173" s="39"/>
      <c r="H173" s="39"/>
      <c r="I173" s="37"/>
      <c r="J173" s="30"/>
      <c r="K173" s="30"/>
    </row>
    <row r="174" spans="1:11">
      <c r="A174" s="148"/>
      <c r="B174" s="41"/>
      <c r="C174" s="39"/>
      <c r="D174" s="39"/>
      <c r="E174" s="39"/>
      <c r="F174" s="39"/>
      <c r="G174" s="39"/>
      <c r="H174" s="39"/>
      <c r="I174" s="39"/>
      <c r="J174" s="30"/>
      <c r="K174" s="30"/>
    </row>
    <row r="175" spans="1:11">
      <c r="A175" s="133"/>
      <c r="B175" s="33"/>
      <c r="C175" s="33"/>
      <c r="D175" s="33"/>
      <c r="E175" s="33"/>
      <c r="F175" s="33"/>
      <c r="G175" s="33"/>
      <c r="H175" s="33"/>
      <c r="I175" s="33"/>
      <c r="J175" s="28"/>
      <c r="K175" s="181" t="s">
        <v>189</v>
      </c>
    </row>
    <row r="176" spans="1:11">
      <c r="A176" s="133"/>
      <c r="B176" s="33"/>
      <c r="C176" s="33"/>
      <c r="D176" s="33"/>
      <c r="E176" s="33"/>
      <c r="F176" s="33"/>
      <c r="G176" s="33"/>
      <c r="H176" s="33"/>
      <c r="I176" s="33"/>
      <c r="J176" s="28"/>
      <c r="K176" s="28"/>
    </row>
    <row r="177" spans="1:11">
      <c r="A177" s="133"/>
      <c r="B177" s="30" t="s">
        <v>9</v>
      </c>
      <c r="C177" s="33"/>
      <c r="D177" s="156" t="s">
        <v>91</v>
      </c>
      <c r="E177" s="33"/>
      <c r="F177" s="33"/>
      <c r="G177" s="33"/>
      <c r="H177" s="33"/>
      <c r="I177" s="41"/>
      <c r="J177" s="28"/>
      <c r="K177" s="193" t="str">
        <f>K3</f>
        <v>For  the 12 months ended 12/31/2027</v>
      </c>
    </row>
    <row r="178" spans="1:11">
      <c r="A178" s="133"/>
      <c r="B178" s="30"/>
      <c r="C178" s="33"/>
      <c r="D178" s="156" t="s">
        <v>160</v>
      </c>
      <c r="E178" s="33"/>
      <c r="F178" s="33"/>
      <c r="G178" s="33"/>
      <c r="H178" s="33"/>
      <c r="I178" s="33"/>
      <c r="J178" s="28"/>
      <c r="K178" s="28"/>
    </row>
    <row r="179" spans="1:11">
      <c r="A179" s="133"/>
      <c r="B179" s="33"/>
      <c r="C179" s="33"/>
      <c r="D179" s="156" t="str">
        <f>+D113</f>
        <v>Gridliance High Plains LLC</v>
      </c>
      <c r="E179" s="33"/>
      <c r="F179" s="33"/>
      <c r="G179" s="33"/>
      <c r="H179" s="33"/>
      <c r="I179" s="33"/>
      <c r="J179" s="28"/>
      <c r="K179" s="28"/>
    </row>
    <row r="180" spans="1:11">
      <c r="A180" s="962"/>
      <c r="B180" s="962"/>
      <c r="C180" s="962"/>
      <c r="D180" s="962"/>
      <c r="E180" s="962"/>
      <c r="F180" s="962"/>
      <c r="G180" s="962"/>
      <c r="H180" s="962"/>
      <c r="I180" s="962"/>
      <c r="J180" s="962"/>
      <c r="K180" s="962"/>
    </row>
    <row r="181" spans="1:11" s="14" customFormat="1">
      <c r="A181" s="194"/>
      <c r="B181" s="139" t="s">
        <v>11</v>
      </c>
      <c r="C181" s="139" t="s">
        <v>12</v>
      </c>
      <c r="D181" s="139" t="s">
        <v>13</v>
      </c>
      <c r="E181" s="28" t="s">
        <v>10</v>
      </c>
      <c r="F181" s="28"/>
      <c r="G181" s="138" t="s">
        <v>14</v>
      </c>
      <c r="H181" s="28"/>
      <c r="I181" s="138" t="s">
        <v>15</v>
      </c>
      <c r="J181" s="117"/>
      <c r="K181" s="117"/>
    </row>
    <row r="182" spans="1:11">
      <c r="A182" s="133"/>
      <c r="B182" s="33"/>
      <c r="C182" s="30"/>
      <c r="D182" s="30"/>
      <c r="E182" s="30"/>
      <c r="F182" s="30"/>
      <c r="G182" s="30"/>
      <c r="H182" s="30"/>
      <c r="I182" s="30"/>
      <c r="J182" s="30"/>
      <c r="K182" s="30"/>
    </row>
    <row r="183" spans="1:11">
      <c r="A183" s="133"/>
      <c r="B183" s="33"/>
      <c r="C183" s="166" t="s">
        <v>54</v>
      </c>
      <c r="D183" s="33"/>
      <c r="E183" s="30"/>
      <c r="F183" s="30"/>
      <c r="G183" s="30"/>
      <c r="H183" s="30"/>
      <c r="I183" s="30"/>
      <c r="J183" s="28"/>
      <c r="K183" s="28"/>
    </row>
    <row r="184" spans="1:11">
      <c r="A184" s="133" t="s">
        <v>16</v>
      </c>
      <c r="B184" s="166"/>
      <c r="C184" s="30"/>
      <c r="D184" s="30"/>
      <c r="E184" s="30"/>
      <c r="F184" s="30"/>
      <c r="G184" s="30"/>
      <c r="H184" s="30"/>
      <c r="I184" s="30"/>
      <c r="J184" s="28"/>
      <c r="K184" s="28"/>
    </row>
    <row r="185" spans="1:11" ht="13.5" thickBot="1">
      <c r="A185" s="32" t="s">
        <v>18</v>
      </c>
      <c r="B185" s="27" t="s">
        <v>55</v>
      </c>
      <c r="C185" s="30"/>
      <c r="D185" s="30"/>
      <c r="E185" s="30"/>
      <c r="F185" s="30"/>
      <c r="G185" s="30"/>
      <c r="H185" s="33"/>
      <c r="I185" s="33"/>
      <c r="J185" s="28"/>
      <c r="K185" s="28"/>
    </row>
    <row r="186" spans="1:11">
      <c r="A186" s="133">
        <v>1</v>
      </c>
      <c r="B186" s="27" t="s">
        <v>349</v>
      </c>
      <c r="C186" s="30" t="s">
        <v>504</v>
      </c>
      <c r="D186" s="28"/>
      <c r="E186" s="28"/>
      <c r="F186" s="28"/>
      <c r="G186" s="28"/>
      <c r="H186" s="28"/>
      <c r="I186" s="178">
        <f>D64</f>
        <v>18189760.969999999</v>
      </c>
      <c r="J186" s="28"/>
      <c r="K186" s="28"/>
    </row>
    <row r="187" spans="1:11">
      <c r="A187" s="133">
        <f>+A186+1</f>
        <v>2</v>
      </c>
      <c r="B187" s="27" t="s">
        <v>350</v>
      </c>
      <c r="C187" s="33" t="s">
        <v>347</v>
      </c>
      <c r="D187" s="33"/>
      <c r="E187" s="33"/>
      <c r="F187" s="33"/>
      <c r="G187" s="33"/>
      <c r="H187" s="33"/>
      <c r="I187" s="167">
        <v>0</v>
      </c>
      <c r="J187" s="28"/>
      <c r="K187" s="28"/>
    </row>
    <row r="188" spans="1:11" ht="13.5" thickBot="1">
      <c r="A188" s="133">
        <f>+A187+1</f>
        <v>3</v>
      </c>
      <c r="B188" s="195" t="s">
        <v>351</v>
      </c>
      <c r="C188" s="196" t="s">
        <v>348</v>
      </c>
      <c r="D188" s="41"/>
      <c r="E188" s="28"/>
      <c r="F188" s="28"/>
      <c r="G188" s="31"/>
      <c r="H188" s="28"/>
      <c r="I188" s="168">
        <v>0</v>
      </c>
      <c r="J188" s="28"/>
      <c r="K188" s="28"/>
    </row>
    <row r="189" spans="1:11">
      <c r="A189" s="133">
        <f t="shared" ref="A189:A220" si="3">+A188+1</f>
        <v>4</v>
      </c>
      <c r="B189" s="27" t="s">
        <v>353</v>
      </c>
      <c r="C189" s="30" t="s">
        <v>352</v>
      </c>
      <c r="D189" s="28"/>
      <c r="E189" s="28"/>
      <c r="F189" s="28"/>
      <c r="G189" s="31"/>
      <c r="H189" s="28"/>
      <c r="I189" s="178">
        <f>I186-I187-I188</f>
        <v>18189760.969999999</v>
      </c>
      <c r="J189" s="28"/>
      <c r="K189" s="28"/>
    </row>
    <row r="190" spans="1:11">
      <c r="A190" s="133"/>
      <c r="B190" s="33"/>
      <c r="C190" s="30"/>
      <c r="D190" s="28"/>
      <c r="E190" s="28"/>
      <c r="F190" s="28"/>
      <c r="G190" s="31"/>
      <c r="H190" s="28"/>
      <c r="I190" s="178"/>
      <c r="J190" s="28"/>
      <c r="K190" s="28"/>
    </row>
    <row r="191" spans="1:11">
      <c r="A191" s="133">
        <f>+A189+1</f>
        <v>5</v>
      </c>
      <c r="B191" s="27" t="s">
        <v>355</v>
      </c>
      <c r="C191" s="137" t="s">
        <v>354</v>
      </c>
      <c r="D191" s="137"/>
      <c r="E191" s="137"/>
      <c r="F191" s="137"/>
      <c r="G191" s="138"/>
      <c r="H191" s="28" t="s">
        <v>56</v>
      </c>
      <c r="I191" s="197">
        <f>IF(I186&gt;0,I189/I186,0)</f>
        <v>1</v>
      </c>
      <c r="J191" s="28"/>
      <c r="K191" s="28"/>
    </row>
    <row r="192" spans="1:11">
      <c r="A192" s="133"/>
      <c r="B192" s="33"/>
      <c r="C192" s="33"/>
      <c r="D192" s="33"/>
      <c r="E192" s="33"/>
      <c r="F192" s="33"/>
      <c r="G192" s="33"/>
      <c r="H192" s="33"/>
      <c r="I192" s="33"/>
      <c r="J192" s="33"/>
      <c r="K192" s="33"/>
    </row>
    <row r="193" spans="1:11">
      <c r="A193" s="133">
        <f>+A191+1</f>
        <v>6</v>
      </c>
      <c r="B193" s="30" t="s">
        <v>190</v>
      </c>
      <c r="C193" s="28"/>
      <c r="D193" s="28"/>
      <c r="E193" s="28"/>
      <c r="F193" s="28"/>
      <c r="G193" s="28"/>
      <c r="H193" s="28"/>
      <c r="I193" s="28"/>
      <c r="J193" s="28"/>
      <c r="K193" s="28"/>
    </row>
    <row r="194" spans="1:11" ht="13.5" thickBot="1">
      <c r="A194" s="133"/>
      <c r="B194" s="30"/>
      <c r="C194" s="198" t="s">
        <v>57</v>
      </c>
      <c r="D194" s="29" t="s">
        <v>58</v>
      </c>
      <c r="E194" s="29" t="s">
        <v>23</v>
      </c>
      <c r="F194" s="28"/>
      <c r="G194" s="29" t="s">
        <v>59</v>
      </c>
      <c r="H194" s="28"/>
      <c r="I194" s="28"/>
      <c r="J194" s="28"/>
      <c r="K194" s="28"/>
    </row>
    <row r="195" spans="1:11">
      <c r="A195" s="133">
        <f>+A193+1</f>
        <v>7</v>
      </c>
      <c r="B195" s="30" t="s">
        <v>420</v>
      </c>
      <c r="C195" s="28" t="s">
        <v>60</v>
      </c>
      <c r="D195" s="167">
        <v>0</v>
      </c>
      <c r="E195" s="26">
        <v>0</v>
      </c>
      <c r="F195" s="199"/>
      <c r="G195" s="18">
        <f>D195*E195</f>
        <v>0</v>
      </c>
      <c r="H195" s="39"/>
      <c r="I195" s="39"/>
      <c r="J195" s="28"/>
      <c r="K195" s="28"/>
    </row>
    <row r="196" spans="1:11">
      <c r="A196" s="133">
        <f t="shared" si="3"/>
        <v>8</v>
      </c>
      <c r="B196" s="30" t="s">
        <v>31</v>
      </c>
      <c r="C196" s="28" t="s">
        <v>448</v>
      </c>
      <c r="D196" s="644">
        <v>1</v>
      </c>
      <c r="E196" s="26">
        <f>+I191</f>
        <v>1</v>
      </c>
      <c r="F196" s="199"/>
      <c r="G196" s="18">
        <f>D196*E196</f>
        <v>1</v>
      </c>
      <c r="H196" s="39"/>
      <c r="I196" s="39"/>
      <c r="J196" s="28"/>
      <c r="K196" s="28"/>
    </row>
    <row r="197" spans="1:11">
      <c r="A197" s="133">
        <f t="shared" si="3"/>
        <v>9</v>
      </c>
      <c r="B197" s="30" t="s">
        <v>421</v>
      </c>
      <c r="C197" s="28" t="s">
        <v>151</v>
      </c>
      <c r="D197" s="167">
        <v>0</v>
      </c>
      <c r="E197" s="26">
        <v>0</v>
      </c>
      <c r="F197" s="199"/>
      <c r="G197" s="18">
        <f>D197*E197</f>
        <v>0</v>
      </c>
      <c r="H197" s="39"/>
      <c r="I197" s="200" t="s">
        <v>61</v>
      </c>
      <c r="J197" s="28"/>
      <c r="K197" s="28"/>
    </row>
    <row r="198" spans="1:11" ht="13.5" thickBot="1">
      <c r="A198" s="133">
        <f t="shared" si="3"/>
        <v>10</v>
      </c>
      <c r="B198" s="30" t="s">
        <v>62</v>
      </c>
      <c r="C198" s="28" t="s">
        <v>449</v>
      </c>
      <c r="D198" s="168">
        <v>0</v>
      </c>
      <c r="E198" s="26">
        <v>0</v>
      </c>
      <c r="F198" s="199"/>
      <c r="G198" s="169">
        <f>D198*E198</f>
        <v>0</v>
      </c>
      <c r="H198" s="39"/>
      <c r="I198" s="201" t="s">
        <v>63</v>
      </c>
      <c r="J198" s="28"/>
      <c r="K198" s="28"/>
    </row>
    <row r="199" spans="1:11">
      <c r="A199" s="133">
        <f t="shared" si="3"/>
        <v>11</v>
      </c>
      <c r="B199" s="30" t="s">
        <v>711</v>
      </c>
      <c r="C199" s="28" t="s">
        <v>357</v>
      </c>
      <c r="D199" s="18">
        <f>SUM(D195:D198)</f>
        <v>1</v>
      </c>
      <c r="E199" s="28"/>
      <c r="F199" s="28"/>
      <c r="G199" s="18">
        <f>SUM(G195:G198)</f>
        <v>1</v>
      </c>
      <c r="H199" s="202" t="s">
        <v>64</v>
      </c>
      <c r="I199" s="174">
        <f>IF(G199&gt;0,G199/D199,0)</f>
        <v>1</v>
      </c>
      <c r="J199" s="31" t="s">
        <v>64</v>
      </c>
      <c r="K199" s="28" t="s">
        <v>65</v>
      </c>
    </row>
    <row r="200" spans="1:11">
      <c r="A200" s="133"/>
      <c r="B200" s="30" t="s">
        <v>10</v>
      </c>
      <c r="C200" s="28" t="s">
        <v>10</v>
      </c>
      <c r="D200" s="33"/>
      <c r="E200" s="28"/>
      <c r="F200" s="28"/>
      <c r="G200" s="33"/>
      <c r="H200" s="33"/>
      <c r="I200" s="33"/>
      <c r="J200" s="33"/>
      <c r="K200" s="28"/>
    </row>
    <row r="201" spans="1:11">
      <c r="A201" s="133">
        <f>+A199+1</f>
        <v>12</v>
      </c>
      <c r="B201" s="30" t="s">
        <v>592</v>
      </c>
      <c r="C201" s="28"/>
      <c r="D201" s="162" t="s">
        <v>58</v>
      </c>
      <c r="E201" s="28"/>
      <c r="F201" s="28"/>
      <c r="G201" s="31" t="s">
        <v>191</v>
      </c>
      <c r="H201" s="35"/>
      <c r="I201" s="171" t="s">
        <v>61</v>
      </c>
      <c r="J201" s="28"/>
      <c r="K201" s="28"/>
    </row>
    <row r="202" spans="1:11">
      <c r="A202" s="133">
        <f t="shared" si="3"/>
        <v>13</v>
      </c>
      <c r="B202" s="30" t="s">
        <v>450</v>
      </c>
      <c r="C202" s="28" t="s">
        <v>192</v>
      </c>
      <c r="D202" s="167">
        <f>+D80</f>
        <v>15500851.321562758</v>
      </c>
      <c r="E202" s="28"/>
      <c r="F202" s="33"/>
      <c r="G202" s="133" t="s">
        <v>678</v>
      </c>
      <c r="H202" s="203"/>
      <c r="I202" s="133" t="s">
        <v>679</v>
      </c>
      <c r="J202" s="28"/>
      <c r="K202" s="139" t="s">
        <v>183</v>
      </c>
    </row>
    <row r="203" spans="1:11">
      <c r="A203" s="133">
        <f t="shared" si="3"/>
        <v>14</v>
      </c>
      <c r="B203" s="30" t="s">
        <v>451</v>
      </c>
      <c r="C203" s="28" t="s">
        <v>870</v>
      </c>
      <c r="D203" s="167">
        <v>0</v>
      </c>
      <c r="E203" s="28"/>
      <c r="F203" s="33"/>
      <c r="G203" s="174">
        <f>IF(D205&gt;0,D202/D205,0)</f>
        <v>1</v>
      </c>
      <c r="H203" s="204" t="s">
        <v>170</v>
      </c>
      <c r="I203" s="174">
        <f>I199</f>
        <v>1</v>
      </c>
      <c r="J203" s="204" t="s">
        <v>64</v>
      </c>
      <c r="K203" s="174">
        <f>I203*G203</f>
        <v>1</v>
      </c>
    </row>
    <row r="204" spans="1:11" ht="13.5" thickBot="1">
      <c r="A204" s="133">
        <f t="shared" si="3"/>
        <v>15</v>
      </c>
      <c r="B204" s="196" t="s">
        <v>62</v>
      </c>
      <c r="C204" s="198" t="s">
        <v>975</v>
      </c>
      <c r="D204" s="168">
        <v>0</v>
      </c>
      <c r="E204" s="28"/>
      <c r="F204" s="28"/>
      <c r="G204" s="28" t="s">
        <v>10</v>
      </c>
      <c r="H204" s="28"/>
      <c r="I204" s="28"/>
      <c r="J204" s="28"/>
      <c r="K204" s="28"/>
    </row>
    <row r="205" spans="1:11">
      <c r="A205" s="133">
        <f t="shared" si="3"/>
        <v>16</v>
      </c>
      <c r="B205" s="30" t="s">
        <v>453</v>
      </c>
      <c r="C205" s="28" t="s">
        <v>356</v>
      </c>
      <c r="D205" s="18">
        <f>D202+D203+D204</f>
        <v>15500851.321562758</v>
      </c>
      <c r="E205" s="28"/>
      <c r="F205" s="28"/>
      <c r="G205" s="28"/>
      <c r="H205" s="28"/>
      <c r="I205" s="28"/>
      <c r="J205" s="28"/>
      <c r="K205" s="28"/>
    </row>
    <row r="206" spans="1:11">
      <c r="A206" s="133"/>
      <c r="B206" s="30"/>
      <c r="C206" s="28"/>
      <c r="D206" s="33"/>
      <c r="E206" s="28"/>
      <c r="F206" s="28"/>
      <c r="G206" s="28"/>
      <c r="H206" s="28"/>
      <c r="I206" s="28"/>
      <c r="J206" s="28"/>
      <c r="K206" s="28"/>
    </row>
    <row r="207" spans="1:11" ht="13.5" thickBot="1">
      <c r="A207" s="133">
        <f>+A205+1</f>
        <v>17</v>
      </c>
      <c r="B207" s="27" t="s">
        <v>66</v>
      </c>
      <c r="C207" s="28" t="s">
        <v>400</v>
      </c>
      <c r="D207" s="28"/>
      <c r="E207" s="28"/>
      <c r="F207" s="28"/>
      <c r="G207" s="28"/>
      <c r="H207" s="28"/>
      <c r="I207" s="29" t="s">
        <v>58</v>
      </c>
      <c r="J207" s="28"/>
      <c r="K207" s="28"/>
    </row>
    <row r="208" spans="1:11">
      <c r="A208" s="133">
        <f>+A207+1</f>
        <v>18</v>
      </c>
      <c r="B208" s="30"/>
      <c r="C208" s="28"/>
      <c r="D208" s="28"/>
      <c r="E208" s="28"/>
      <c r="F208" s="28"/>
      <c r="G208" s="31" t="s">
        <v>67</v>
      </c>
      <c r="H208" s="28"/>
      <c r="I208" s="28"/>
      <c r="J208" s="28"/>
      <c r="K208" s="28"/>
    </row>
    <row r="209" spans="1:11" ht="13.5" thickBot="1">
      <c r="A209" s="133">
        <f t="shared" si="3"/>
        <v>19</v>
      </c>
      <c r="B209" s="30"/>
      <c r="C209" s="28"/>
      <c r="D209" s="32" t="s">
        <v>58</v>
      </c>
      <c r="E209" s="32" t="s">
        <v>68</v>
      </c>
      <c r="F209" s="28"/>
      <c r="G209" s="156" t="str">
        <f>"(Notes "&amp;A266&amp;", "&amp;A272&amp;", &amp; "&amp;A273&amp;")"</f>
        <v>(Notes K, Q, &amp; R)</v>
      </c>
      <c r="H209" s="28"/>
      <c r="I209" s="32" t="s">
        <v>69</v>
      </c>
      <c r="J209" s="28"/>
      <c r="K209" s="28"/>
    </row>
    <row r="210" spans="1:11">
      <c r="A210" s="133">
        <f t="shared" si="3"/>
        <v>20</v>
      </c>
      <c r="B210" s="27" t="s">
        <v>358</v>
      </c>
      <c r="C210" s="33" t="s">
        <v>574</v>
      </c>
      <c r="D210" s="205">
        <v>24340687.305207092</v>
      </c>
      <c r="E210" s="768">
        <f>+MAX(D210/D$213,40%)</f>
        <v>0.4</v>
      </c>
      <c r="F210" s="26"/>
      <c r="G210" s="746">
        <f>'5-P3 Support'!I85</f>
        <v>0.06</v>
      </c>
      <c r="H210" s="237"/>
      <c r="I210" s="142">
        <f>IF(E210=0,0,E210*G210)</f>
        <v>2.4E-2</v>
      </c>
      <c r="J210" s="206" t="s">
        <v>70</v>
      </c>
      <c r="K210" s="33"/>
    </row>
    <row r="211" spans="1:11">
      <c r="A211" s="133">
        <f t="shared" si="3"/>
        <v>21</v>
      </c>
      <c r="B211" s="27" t="s">
        <v>193</v>
      </c>
      <c r="C211" s="33" t="s">
        <v>574</v>
      </c>
      <c r="D211" s="205">
        <v>0</v>
      </c>
      <c r="E211" s="768">
        <v>0</v>
      </c>
      <c r="F211" s="26"/>
      <c r="G211" s="745">
        <v>0</v>
      </c>
      <c r="H211" s="237"/>
      <c r="I211" s="142">
        <f>E211*G211</f>
        <v>0</v>
      </c>
      <c r="J211" s="28"/>
      <c r="K211" s="33"/>
    </row>
    <row r="212" spans="1:11" ht="13.5" thickBot="1">
      <c r="A212" s="133">
        <f t="shared" si="3"/>
        <v>22</v>
      </c>
      <c r="B212" s="27" t="s">
        <v>466</v>
      </c>
      <c r="C212" s="33" t="s">
        <v>575</v>
      </c>
      <c r="D212" s="418">
        <v>76476833.491334647</v>
      </c>
      <c r="E212" s="769">
        <f>+MIN(D212/D$213,60%)</f>
        <v>0.6</v>
      </c>
      <c r="F212" s="34"/>
      <c r="G212" s="746">
        <v>0.10299999999999999</v>
      </c>
      <c r="H212" s="237"/>
      <c r="I212" s="587">
        <f>E212*G212</f>
        <v>6.1799999999999994E-2</v>
      </c>
      <c r="J212" s="28"/>
      <c r="K212" s="33"/>
    </row>
    <row r="213" spans="1:11">
      <c r="A213" s="133">
        <f t="shared" si="3"/>
        <v>23</v>
      </c>
      <c r="B213" s="30" t="s">
        <v>346</v>
      </c>
      <c r="C213" s="33" t="s">
        <v>495</v>
      </c>
      <c r="D213" s="207">
        <f>SUM(D210:D212)</f>
        <v>100817520.79654174</v>
      </c>
      <c r="E213" s="28" t="s">
        <v>10</v>
      </c>
      <c r="F213" s="28"/>
      <c r="G213" s="237"/>
      <c r="H213" s="237"/>
      <c r="I213" s="142">
        <f>SUM(I210:I212)</f>
        <v>8.5799999999999987E-2</v>
      </c>
      <c r="J213" s="206" t="s">
        <v>71</v>
      </c>
      <c r="K213" s="33"/>
    </row>
    <row r="214" spans="1:11">
      <c r="A214" s="133"/>
      <c r="B214" s="33"/>
      <c r="C214" s="33"/>
      <c r="D214" s="33"/>
      <c r="E214" s="28"/>
      <c r="F214" s="28"/>
      <c r="G214" s="28"/>
      <c r="H214" s="28"/>
      <c r="I214" s="237"/>
      <c r="J214" s="33"/>
      <c r="K214" s="33"/>
    </row>
    <row r="215" spans="1:11">
      <c r="A215" s="133">
        <f>+A213+1</f>
        <v>24</v>
      </c>
      <c r="B215" s="27" t="s">
        <v>194</v>
      </c>
      <c r="C215" s="27"/>
      <c r="D215" s="27"/>
      <c r="E215" s="27"/>
      <c r="F215" s="27"/>
      <c r="G215" s="27"/>
      <c r="H215" s="27"/>
      <c r="I215" s="27"/>
      <c r="J215" s="27"/>
      <c r="K215" s="27"/>
    </row>
    <row r="216" spans="1:11" ht="13.5" thickBot="1">
      <c r="A216" s="133"/>
      <c r="B216" s="27"/>
      <c r="C216" s="27"/>
      <c r="D216" s="873"/>
      <c r="E216" s="27"/>
      <c r="F216" s="27"/>
      <c r="G216" s="27"/>
      <c r="H216" s="27"/>
      <c r="I216" s="32"/>
      <c r="J216" s="133"/>
      <c r="K216" s="33"/>
    </row>
    <row r="217" spans="1:11">
      <c r="A217" s="133">
        <f>+A215+1</f>
        <v>25</v>
      </c>
      <c r="B217" s="27" t="s">
        <v>680</v>
      </c>
      <c r="C217" s="27" t="s">
        <v>477</v>
      </c>
      <c r="D217" s="27"/>
      <c r="E217" s="27"/>
      <c r="F217" s="27"/>
      <c r="G217" s="208" t="s">
        <v>10</v>
      </c>
      <c r="H217" s="209"/>
      <c r="I217" s="210"/>
      <c r="J217" s="210"/>
      <c r="K217" s="33"/>
    </row>
    <row r="218" spans="1:11">
      <c r="A218" s="133">
        <f t="shared" si="3"/>
        <v>26</v>
      </c>
      <c r="B218" s="33" t="s">
        <v>374</v>
      </c>
      <c r="C218" s="27" t="s">
        <v>454</v>
      </c>
      <c r="D218" s="27"/>
      <c r="E218" s="33"/>
      <c r="F218" s="27"/>
      <c r="G218" s="33"/>
      <c r="H218" s="209"/>
      <c r="I218" s="211">
        <v>0</v>
      </c>
      <c r="J218" s="212"/>
      <c r="K218" s="33"/>
    </row>
    <row r="219" spans="1:11" ht="13.5" thickBot="1">
      <c r="A219" s="133">
        <f t="shared" si="3"/>
        <v>27</v>
      </c>
      <c r="B219" s="213" t="s">
        <v>1</v>
      </c>
      <c r="C219" s="28" t="s">
        <v>871</v>
      </c>
      <c r="D219" s="33"/>
      <c r="E219" s="27"/>
      <c r="F219" s="27"/>
      <c r="G219" s="27"/>
      <c r="H219" s="27"/>
      <c r="I219" s="374">
        <f>+'5-P3 Support'!C68</f>
        <v>0</v>
      </c>
      <c r="J219" s="214"/>
      <c r="K219" s="33"/>
    </row>
    <row r="220" spans="1:11">
      <c r="A220" s="133">
        <f t="shared" si="3"/>
        <v>28</v>
      </c>
      <c r="B220" s="33" t="s">
        <v>195</v>
      </c>
      <c r="C220" s="30"/>
      <c r="D220" s="33"/>
      <c r="E220" s="27"/>
      <c r="F220" s="27"/>
      <c r="G220" s="27"/>
      <c r="H220" s="27"/>
      <c r="I220" s="215">
        <f>I218-I219</f>
        <v>0</v>
      </c>
      <c r="J220" s="212"/>
      <c r="K220" s="33"/>
    </row>
    <row r="221" spans="1:11">
      <c r="A221" s="133"/>
      <c r="B221" s="33"/>
      <c r="C221" s="30"/>
      <c r="D221" s="33"/>
      <c r="E221" s="27"/>
      <c r="F221" s="27"/>
      <c r="G221" s="27"/>
      <c r="H221" s="27"/>
      <c r="I221" s="216"/>
      <c r="J221" s="210"/>
      <c r="K221" s="33"/>
    </row>
    <row r="222" spans="1:11">
      <c r="A222" s="133">
        <f>+A220+1</f>
        <v>29</v>
      </c>
      <c r="B222" s="27" t="s">
        <v>315</v>
      </c>
      <c r="C222" s="30" t="s">
        <v>872</v>
      </c>
      <c r="D222" s="33"/>
      <c r="E222" s="27"/>
      <c r="F222" s="27"/>
      <c r="G222" s="217"/>
      <c r="H222" s="27"/>
      <c r="I222" s="218">
        <f>+'5-P3 Support'!D68</f>
        <v>0</v>
      </c>
      <c r="J222" s="210"/>
      <c r="K222" s="219"/>
    </row>
    <row r="223" spans="1:11">
      <c r="A223" s="133"/>
      <c r="B223" s="33"/>
      <c r="C223" s="27"/>
      <c r="D223" s="27"/>
      <c r="E223" s="27"/>
      <c r="F223" s="27"/>
      <c r="G223" s="27"/>
      <c r="H223" s="27"/>
      <c r="I223" s="216"/>
      <c r="J223" s="210"/>
      <c r="K223" s="219"/>
    </row>
    <row r="224" spans="1:11">
      <c r="A224" s="133">
        <f>+A222+1</f>
        <v>30</v>
      </c>
      <c r="B224" s="27" t="s">
        <v>316</v>
      </c>
      <c r="C224" s="27" t="s">
        <v>712</v>
      </c>
      <c r="D224" s="27"/>
      <c r="E224" s="27"/>
      <c r="F224" s="27"/>
      <c r="G224" s="27"/>
      <c r="H224" s="27"/>
      <c r="I224" s="33"/>
      <c r="J224" s="33"/>
      <c r="K224" s="219"/>
    </row>
    <row r="225" spans="1:11">
      <c r="A225" s="133">
        <f>+A224+1</f>
        <v>31</v>
      </c>
      <c r="B225" s="220" t="s">
        <v>373</v>
      </c>
      <c r="C225" s="28" t="s">
        <v>873</v>
      </c>
      <c r="D225" s="28"/>
      <c r="E225" s="28"/>
      <c r="F225" s="28"/>
      <c r="G225" s="28"/>
      <c r="H225" s="28"/>
      <c r="I225" s="221">
        <f>+'5-P3 Support'!E68</f>
        <v>71271.470000000016</v>
      </c>
      <c r="J225" s="222"/>
      <c r="K225" s="219"/>
    </row>
    <row r="226" spans="1:11" ht="26.5" thickBot="1">
      <c r="A226" s="133">
        <f>+A225+1</f>
        <v>32</v>
      </c>
      <c r="B226" s="223" t="s">
        <v>372</v>
      </c>
      <c r="C226" s="28" t="s">
        <v>874</v>
      </c>
      <c r="D226" s="27"/>
      <c r="E226" s="27"/>
      <c r="F226" s="27"/>
      <c r="G226" s="27"/>
      <c r="H226" s="27"/>
      <c r="I226" s="375">
        <f>+'5-P3 Support'!F68</f>
        <v>0</v>
      </c>
      <c r="J226" s="33"/>
      <c r="K226" s="224"/>
    </row>
    <row r="227" spans="1:11">
      <c r="A227" s="133">
        <f>+A226+1</f>
        <v>33</v>
      </c>
      <c r="B227" s="41" t="s">
        <v>195</v>
      </c>
      <c r="C227" s="133"/>
      <c r="D227" s="28"/>
      <c r="E227" s="28"/>
      <c r="F227" s="28"/>
      <c r="G227" s="28"/>
      <c r="H227" s="27"/>
      <c r="I227" s="225">
        <f>+I225-I226</f>
        <v>71271.470000000016</v>
      </c>
      <c r="J227" s="222"/>
      <c r="K227" s="222"/>
    </row>
    <row r="228" spans="1:11">
      <c r="A228" s="133"/>
      <c r="B228" s="41"/>
      <c r="C228" s="133"/>
      <c r="D228" s="28"/>
      <c r="E228" s="28"/>
      <c r="F228" s="28"/>
      <c r="G228" s="28"/>
      <c r="H228" s="27"/>
      <c r="I228" s="225"/>
      <c r="J228" s="222"/>
      <c r="K228" s="222"/>
    </row>
    <row r="229" spans="1:11">
      <c r="A229" s="133"/>
      <c r="D229" s="28"/>
      <c r="E229" s="28"/>
      <c r="F229" s="28"/>
      <c r="G229" s="28"/>
      <c r="H229" s="27"/>
      <c r="I229" s="225"/>
      <c r="J229" s="222"/>
      <c r="K229" s="222"/>
    </row>
    <row r="230" spans="1:11">
      <c r="A230" s="133"/>
      <c r="B230" s="41"/>
      <c r="D230" s="133"/>
      <c r="E230" s="28"/>
      <c r="F230" s="28"/>
      <c r="G230" s="28"/>
      <c r="H230" s="27"/>
      <c r="I230" s="225"/>
      <c r="J230" s="222"/>
      <c r="K230" s="222"/>
    </row>
    <row r="231" spans="1:11">
      <c r="A231" s="133"/>
      <c r="B231" s="41"/>
      <c r="C231" s="655"/>
      <c r="D231" s="28"/>
      <c r="E231" s="28"/>
      <c r="F231" s="28"/>
      <c r="H231" s="27"/>
      <c r="I231" s="225"/>
      <c r="J231" s="222"/>
      <c r="K231" s="222"/>
    </row>
    <row r="232" spans="1:11">
      <c r="A232" s="133">
        <v>34</v>
      </c>
      <c r="B232" s="41" t="s">
        <v>713</v>
      </c>
      <c r="C232" s="663"/>
      <c r="D232" s="663"/>
      <c r="E232" s="28"/>
      <c r="F232" s="28"/>
      <c r="H232" s="27"/>
      <c r="I232" s="225"/>
      <c r="J232" s="222"/>
      <c r="K232" s="222"/>
    </row>
    <row r="233" spans="1:11">
      <c r="A233" s="133">
        <v>35</v>
      </c>
      <c r="B233" s="41" t="s">
        <v>713</v>
      </c>
      <c r="C233" s="793"/>
      <c r="D233" s="868"/>
      <c r="E233" s="18"/>
      <c r="F233" s="18"/>
      <c r="G233" s="18"/>
      <c r="H233" s="27"/>
      <c r="I233" s="225"/>
      <c r="J233" s="222"/>
      <c r="K233" s="222"/>
    </row>
    <row r="234" spans="1:11">
      <c r="A234" s="133">
        <v>36</v>
      </c>
      <c r="B234" s="41" t="s">
        <v>713</v>
      </c>
      <c r="C234" s="793"/>
      <c r="D234" s="656"/>
      <c r="E234" s="18"/>
      <c r="F234" s="18"/>
      <c r="G234" s="178"/>
      <c r="H234" s="27"/>
      <c r="I234" s="225"/>
      <c r="J234" s="222"/>
      <c r="K234" s="222"/>
    </row>
    <row r="235" spans="1:11">
      <c r="A235" s="133"/>
      <c r="B235" s="41"/>
      <c r="C235" s="133"/>
      <c r="D235" s="28"/>
      <c r="E235" s="28"/>
      <c r="F235" s="28"/>
      <c r="G235" s="28"/>
      <c r="H235" s="27"/>
      <c r="I235" s="225"/>
      <c r="J235" s="222"/>
      <c r="K235" s="222"/>
    </row>
    <row r="236" spans="1:11">
      <c r="A236" s="133"/>
      <c r="B236" s="41"/>
      <c r="C236" s="133"/>
      <c r="D236" s="28"/>
      <c r="E236" s="28"/>
      <c r="F236" s="28"/>
      <c r="G236" s="28"/>
      <c r="H236" s="27"/>
      <c r="I236" s="225"/>
      <c r="J236" s="222"/>
      <c r="K236" s="222"/>
    </row>
    <row r="237" spans="1:11">
      <c r="A237" s="133"/>
      <c r="B237" s="41"/>
      <c r="C237" s="133"/>
      <c r="D237" s="28"/>
      <c r="E237" s="28"/>
      <c r="F237" s="28"/>
      <c r="G237" s="28"/>
      <c r="H237" s="27"/>
      <c r="I237" s="225"/>
      <c r="J237" s="222"/>
      <c r="K237" s="222"/>
    </row>
    <row r="238" spans="1:11">
      <c r="A238" s="133"/>
      <c r="B238" s="41"/>
      <c r="C238" s="133"/>
      <c r="D238" s="28"/>
      <c r="E238" s="28"/>
      <c r="F238" s="28"/>
      <c r="G238" s="28"/>
      <c r="H238" s="27"/>
      <c r="I238" s="225"/>
      <c r="J238" s="222"/>
      <c r="K238" s="222"/>
    </row>
    <row r="239" spans="1:11">
      <c r="A239" s="133"/>
      <c r="B239" s="226"/>
      <c r="C239" s="133"/>
      <c r="D239" s="28"/>
      <c r="E239" s="28"/>
      <c r="F239" s="28"/>
      <c r="G239" s="28"/>
      <c r="H239" s="27"/>
      <c r="I239" s="216"/>
      <c r="J239" s="222"/>
      <c r="K239" s="222"/>
    </row>
    <row r="240" spans="1:11">
      <c r="A240" s="133"/>
      <c r="B240" s="226"/>
      <c r="C240" s="133"/>
      <c r="D240" s="28"/>
      <c r="E240" s="28"/>
      <c r="F240" s="28"/>
      <c r="G240" s="28"/>
      <c r="H240" s="27"/>
      <c r="I240" s="216"/>
      <c r="J240" s="222"/>
      <c r="K240" s="222"/>
    </row>
    <row r="241" spans="1:11">
      <c r="A241" s="133"/>
      <c r="B241" s="30"/>
      <c r="C241" s="30"/>
      <c r="D241" s="28"/>
      <c r="E241" s="28"/>
      <c r="F241" s="28"/>
      <c r="G241" s="28"/>
      <c r="H241" s="30"/>
      <c r="I241" s="28"/>
      <c r="J241" s="30"/>
      <c r="K241" s="181" t="s">
        <v>196</v>
      </c>
    </row>
    <row r="242" spans="1:11">
      <c r="A242" s="133"/>
      <c r="B242" s="30"/>
      <c r="C242" s="30"/>
      <c r="D242" s="28"/>
      <c r="E242" s="28"/>
      <c r="F242" s="28"/>
      <c r="G242" s="28"/>
      <c r="H242" s="30"/>
      <c r="I242" s="28"/>
      <c r="J242" s="30"/>
      <c r="K242" s="28"/>
    </row>
    <row r="243" spans="1:11">
      <c r="A243" s="133"/>
      <c r="B243" s="226" t="s">
        <v>9</v>
      </c>
      <c r="C243" s="133"/>
      <c r="D243" s="31" t="s">
        <v>91</v>
      </c>
      <c r="E243" s="28"/>
      <c r="F243" s="28"/>
      <c r="G243" s="28"/>
      <c r="H243" s="27"/>
      <c r="I243" s="41"/>
      <c r="J243" s="210"/>
      <c r="K243" s="227" t="str">
        <f>K3</f>
        <v>For  the 12 months ended 12/31/2027</v>
      </c>
    </row>
    <row r="244" spans="1:11">
      <c r="A244" s="133"/>
      <c r="B244" s="226"/>
      <c r="C244" s="133"/>
      <c r="D244" s="31" t="s">
        <v>160</v>
      </c>
      <c r="E244" s="28"/>
      <c r="F244" s="28"/>
      <c r="G244" s="28"/>
      <c r="H244" s="27"/>
      <c r="I244" s="228"/>
      <c r="J244" s="210"/>
      <c r="K244" s="222"/>
    </row>
    <row r="245" spans="1:11">
      <c r="A245" s="133"/>
      <c r="B245" s="226"/>
      <c r="C245" s="133"/>
      <c r="D245" s="31" t="str">
        <f>+D179</f>
        <v>Gridliance High Plains LLC</v>
      </c>
      <c r="E245" s="28"/>
      <c r="F245" s="28"/>
      <c r="G245" s="28"/>
      <c r="H245" s="27"/>
      <c r="I245" s="228"/>
      <c r="J245" s="210"/>
      <c r="K245" s="222"/>
    </row>
    <row r="246" spans="1:11">
      <c r="A246" s="962"/>
      <c r="B246" s="962"/>
      <c r="C246" s="962"/>
      <c r="D246" s="962"/>
      <c r="E246" s="962"/>
      <c r="F246" s="962"/>
      <c r="G246" s="962"/>
      <c r="H246" s="962"/>
      <c r="I246" s="962"/>
      <c r="J246" s="962"/>
      <c r="K246" s="962"/>
    </row>
    <row r="247" spans="1:11">
      <c r="A247" s="133"/>
      <c r="B247" s="226"/>
      <c r="C247" s="133"/>
      <c r="D247" s="28"/>
      <c r="E247" s="28"/>
      <c r="F247" s="28"/>
      <c r="G247" s="28"/>
      <c r="H247" s="27"/>
      <c r="I247" s="228"/>
      <c r="J247" s="210"/>
      <c r="K247" s="222"/>
    </row>
    <row r="248" spans="1:11">
      <c r="A248" s="133"/>
      <c r="B248" s="27" t="s">
        <v>72</v>
      </c>
      <c r="C248" s="133"/>
      <c r="D248" s="28"/>
      <c r="E248" s="28"/>
      <c r="F248" s="28"/>
      <c r="G248" s="28"/>
      <c r="H248" s="27"/>
      <c r="I248" s="28"/>
      <c r="J248" s="27"/>
      <c r="K248" s="28"/>
    </row>
    <row r="249" spans="1:11">
      <c r="A249" s="133"/>
      <c r="B249" s="229" t="s">
        <v>197</v>
      </c>
      <c r="C249" s="133"/>
      <c r="D249" s="28"/>
      <c r="E249" s="28"/>
      <c r="F249" s="28"/>
      <c r="G249" s="28"/>
      <c r="H249" s="27"/>
      <c r="I249" s="28"/>
      <c r="J249" s="27"/>
      <c r="K249" s="28"/>
    </row>
    <row r="250" spans="1:11">
      <c r="A250" s="133" t="s">
        <v>73</v>
      </c>
      <c r="B250" s="27"/>
      <c r="C250" s="27"/>
      <c r="D250" s="28"/>
      <c r="E250" s="28"/>
      <c r="F250" s="28"/>
      <c r="G250" s="28"/>
      <c r="H250" s="27"/>
      <c r="I250" s="28"/>
      <c r="J250" s="27"/>
      <c r="K250" s="28"/>
    </row>
    <row r="251" spans="1:11" ht="13.5" thickBot="1">
      <c r="A251" s="32" t="s">
        <v>74</v>
      </c>
      <c r="B251" s="963"/>
      <c r="C251" s="963"/>
      <c r="D251" s="230"/>
      <c r="E251" s="230"/>
      <c r="F251" s="230"/>
      <c r="G251" s="230"/>
      <c r="H251" s="231"/>
      <c r="I251" s="230"/>
      <c r="J251" s="231"/>
      <c r="K251" s="230"/>
    </row>
    <row r="252" spans="1:11">
      <c r="A252" s="231" t="s">
        <v>275</v>
      </c>
      <c r="B252" s="952" t="s">
        <v>713</v>
      </c>
      <c r="C252" s="952"/>
      <c r="D252" s="952"/>
      <c r="E252" s="952"/>
      <c r="F252" s="952"/>
      <c r="G252" s="952"/>
      <c r="H252" s="952"/>
      <c r="I252" s="952"/>
      <c r="J252" s="952"/>
      <c r="K252" s="952"/>
    </row>
    <row r="253" spans="1:11" ht="29.25" customHeight="1">
      <c r="A253" s="231" t="s">
        <v>276</v>
      </c>
      <c r="B253" s="952" t="s">
        <v>670</v>
      </c>
      <c r="C253" s="952"/>
      <c r="D253" s="952"/>
      <c r="E253" s="952"/>
      <c r="F253" s="952"/>
      <c r="G253" s="952"/>
      <c r="H253" s="952"/>
      <c r="I253" s="952"/>
      <c r="J253" s="952"/>
      <c r="K253" s="952"/>
    </row>
    <row r="254" spans="1:11">
      <c r="A254" s="231" t="s">
        <v>77</v>
      </c>
      <c r="B254" s="952" t="s">
        <v>82</v>
      </c>
      <c r="C254" s="952"/>
      <c r="D254" s="952"/>
      <c r="E254" s="952"/>
      <c r="F254" s="952"/>
      <c r="G254" s="952"/>
      <c r="H254" s="952"/>
      <c r="I254" s="952"/>
      <c r="J254" s="952"/>
      <c r="K254" s="952"/>
    </row>
    <row r="255" spans="1:11" ht="29.25" customHeight="1">
      <c r="A255" s="231" t="s">
        <v>78</v>
      </c>
      <c r="B255" s="952" t="s">
        <v>455</v>
      </c>
      <c r="C255" s="952"/>
      <c r="D255" s="952"/>
      <c r="E255" s="952"/>
      <c r="F255" s="952"/>
      <c r="G255" s="952"/>
      <c r="H255" s="952"/>
      <c r="I255" s="952"/>
      <c r="J255" s="952"/>
      <c r="K255" s="952"/>
    </row>
    <row r="256" spans="1:11" ht="29.25" customHeight="1">
      <c r="A256" s="231" t="s">
        <v>79</v>
      </c>
      <c r="B256" s="952" t="s">
        <v>875</v>
      </c>
      <c r="C256" s="952"/>
      <c r="D256" s="952"/>
      <c r="E256" s="952"/>
      <c r="F256" s="952"/>
      <c r="G256" s="952"/>
      <c r="H256" s="952"/>
      <c r="I256" s="952"/>
      <c r="J256" s="952"/>
      <c r="K256" s="952"/>
    </row>
    <row r="257" spans="1:11" ht="30" customHeight="1">
      <c r="A257" s="231" t="s">
        <v>80</v>
      </c>
      <c r="B257" s="952" t="s">
        <v>198</v>
      </c>
      <c r="C257" s="952"/>
      <c r="D257" s="952"/>
      <c r="E257" s="952"/>
      <c r="F257" s="952"/>
      <c r="G257" s="952"/>
      <c r="H257" s="952"/>
      <c r="I257" s="952"/>
      <c r="J257" s="952"/>
      <c r="K257" s="952"/>
    </row>
    <row r="258" spans="1:11" ht="45.75" customHeight="1">
      <c r="A258" s="952" t="s">
        <v>81</v>
      </c>
      <c r="B258" s="952" t="s">
        <v>985</v>
      </c>
      <c r="C258" s="952"/>
      <c r="D258" s="952"/>
      <c r="E258" s="952"/>
      <c r="F258" s="952"/>
      <c r="G258" s="952"/>
      <c r="H258" s="952"/>
      <c r="I258" s="952"/>
      <c r="J258" s="952"/>
      <c r="K258" s="952"/>
    </row>
    <row r="259" spans="1:11">
      <c r="A259" s="952"/>
      <c r="B259" s="347" t="s">
        <v>86</v>
      </c>
      <c r="C259" s="347" t="s">
        <v>87</v>
      </c>
      <c r="D259" s="791">
        <v>0.21</v>
      </c>
      <c r="E259" s="347" t="s">
        <v>1120</v>
      </c>
      <c r="F259" s="347"/>
      <c r="G259" s="347"/>
      <c r="H259" s="347"/>
      <c r="I259" s="347"/>
      <c r="J259" s="347"/>
      <c r="K259" s="347"/>
    </row>
    <row r="260" spans="1:11">
      <c r="A260" s="952"/>
      <c r="B260" s="347"/>
      <c r="C260" s="347" t="s">
        <v>88</v>
      </c>
      <c r="D260" s="791">
        <v>0.04</v>
      </c>
      <c r="E260" s="347" t="s">
        <v>986</v>
      </c>
      <c r="F260" s="347"/>
      <c r="G260" s="347"/>
      <c r="H260" s="347"/>
      <c r="I260" s="347"/>
      <c r="J260" s="347"/>
      <c r="K260" s="347"/>
    </row>
    <row r="261" spans="1:11">
      <c r="A261" s="952"/>
      <c r="B261" s="347"/>
      <c r="C261" s="347" t="s">
        <v>89</v>
      </c>
      <c r="D261" s="791">
        <v>0</v>
      </c>
      <c r="E261" s="347" t="s">
        <v>199</v>
      </c>
      <c r="F261" s="347"/>
      <c r="G261" s="347"/>
      <c r="H261" s="347"/>
      <c r="I261" s="347"/>
      <c r="J261" s="347"/>
      <c r="K261" s="347"/>
    </row>
    <row r="262" spans="1:11">
      <c r="A262" s="952"/>
      <c r="B262" s="347"/>
      <c r="C262" s="347"/>
      <c r="D262" s="347"/>
      <c r="E262" s="347"/>
      <c r="F262" s="347"/>
      <c r="G262" s="347"/>
      <c r="H262" s="347"/>
      <c r="I262" s="347"/>
      <c r="J262" s="347"/>
      <c r="K262" s="347"/>
    </row>
    <row r="263" spans="1:11" ht="19.5" customHeight="1">
      <c r="A263" s="231" t="s">
        <v>83</v>
      </c>
      <c r="B263" s="952" t="s">
        <v>201</v>
      </c>
      <c r="C263" s="952"/>
      <c r="D263" s="952"/>
      <c r="E263" s="952"/>
      <c r="F263" s="952"/>
      <c r="G263" s="952"/>
      <c r="H263" s="952"/>
      <c r="I263" s="952"/>
      <c r="J263" s="952"/>
      <c r="K263" s="952"/>
    </row>
    <row r="264" spans="1:11" ht="31.5" customHeight="1">
      <c r="A264" s="231" t="s">
        <v>84</v>
      </c>
      <c r="B264" s="952" t="s">
        <v>202</v>
      </c>
      <c r="C264" s="952"/>
      <c r="D264" s="952"/>
      <c r="E264" s="952"/>
      <c r="F264" s="952"/>
      <c r="G264" s="952"/>
      <c r="H264" s="952"/>
      <c r="I264" s="952"/>
      <c r="J264" s="952"/>
      <c r="K264" s="952"/>
    </row>
    <row r="265" spans="1:11">
      <c r="A265" s="231" t="s">
        <v>85</v>
      </c>
      <c r="B265" s="952" t="s">
        <v>90</v>
      </c>
      <c r="C265" s="952"/>
      <c r="D265" s="952"/>
      <c r="E265" s="952"/>
      <c r="F265" s="952"/>
      <c r="G265" s="952"/>
      <c r="H265" s="952"/>
      <c r="I265" s="952"/>
      <c r="J265" s="952"/>
      <c r="K265" s="952"/>
    </row>
    <row r="266" spans="1:11" ht="21" customHeight="1">
      <c r="A266" s="231" t="s">
        <v>162</v>
      </c>
      <c r="B266" s="952" t="s">
        <v>287</v>
      </c>
      <c r="C266" s="952"/>
      <c r="D266" s="952"/>
      <c r="E266" s="952"/>
      <c r="F266" s="952"/>
      <c r="G266" s="952"/>
      <c r="H266" s="952"/>
      <c r="I266" s="952"/>
      <c r="J266" s="952"/>
      <c r="K266" s="952"/>
    </row>
    <row r="267" spans="1:11">
      <c r="A267" s="231" t="s">
        <v>277</v>
      </c>
      <c r="B267" s="952" t="s">
        <v>582</v>
      </c>
      <c r="C267" s="952"/>
      <c r="D267" s="952"/>
      <c r="E267" s="952"/>
      <c r="F267" s="952"/>
      <c r="G267" s="952"/>
      <c r="H267" s="952"/>
      <c r="I267" s="952"/>
      <c r="J267" s="952"/>
      <c r="K267" s="952"/>
    </row>
    <row r="268" spans="1:11">
      <c r="A268" s="231" t="s">
        <v>200</v>
      </c>
      <c r="B268" s="952" t="s">
        <v>207</v>
      </c>
      <c r="C268" s="952"/>
      <c r="D268" s="952"/>
      <c r="E268" s="952"/>
      <c r="F268" s="952"/>
      <c r="G268" s="952"/>
      <c r="H268" s="952"/>
      <c r="I268" s="952"/>
      <c r="J268" s="952"/>
      <c r="K268" s="952"/>
    </row>
    <row r="269" spans="1:11">
      <c r="A269" s="231" t="s">
        <v>278</v>
      </c>
      <c r="B269" s="952" t="s">
        <v>493</v>
      </c>
      <c r="C269" s="952"/>
      <c r="D269" s="952"/>
      <c r="E269" s="952"/>
      <c r="F269" s="952"/>
      <c r="G269" s="952"/>
      <c r="H269" s="952"/>
      <c r="I269" s="952"/>
      <c r="J269" s="952"/>
      <c r="K269" s="952"/>
    </row>
    <row r="270" spans="1:11" ht="33.75" customHeight="1">
      <c r="A270" s="231" t="s">
        <v>203</v>
      </c>
      <c r="B270" s="957" t="s">
        <v>861</v>
      </c>
      <c r="C270" s="958"/>
      <c r="D270" s="958"/>
      <c r="E270" s="958"/>
      <c r="F270" s="958"/>
      <c r="G270" s="958"/>
      <c r="H270" s="958"/>
      <c r="I270" s="958"/>
      <c r="J270" s="958"/>
      <c r="K270" s="958"/>
    </row>
    <row r="271" spans="1:11">
      <c r="A271" s="348" t="s">
        <v>204</v>
      </c>
      <c r="B271" s="959" t="s">
        <v>713</v>
      </c>
      <c r="C271" s="960"/>
      <c r="D271" s="960"/>
      <c r="E271" s="960"/>
      <c r="F271" s="960"/>
      <c r="G271" s="960"/>
      <c r="H271" s="960"/>
      <c r="I271" s="960"/>
      <c r="J271" s="960"/>
      <c r="K271" s="960"/>
    </row>
    <row r="272" spans="1:11" ht="44.25" customHeight="1">
      <c r="A272" s="349" t="s">
        <v>205</v>
      </c>
      <c r="B272" s="953" t="s">
        <v>1070</v>
      </c>
      <c r="C272" s="953"/>
      <c r="D272" s="953"/>
      <c r="E272" s="953"/>
      <c r="F272" s="953"/>
      <c r="G272" s="953"/>
      <c r="H272" s="953"/>
      <c r="I272" s="953"/>
      <c r="J272" s="953"/>
      <c r="K272" s="953"/>
    </row>
    <row r="273" spans="1:11" ht="30.75" customHeight="1">
      <c r="A273" s="349" t="s">
        <v>206</v>
      </c>
      <c r="B273" s="955" t="s">
        <v>1096</v>
      </c>
      <c r="C273" s="955"/>
      <c r="D273" s="955"/>
      <c r="E273" s="955"/>
      <c r="F273" s="955"/>
      <c r="G273" s="955"/>
      <c r="H273" s="955"/>
      <c r="I273" s="955"/>
      <c r="J273" s="955"/>
      <c r="K273" s="955"/>
    </row>
    <row r="274" spans="1:11" ht="18.75" customHeight="1">
      <c r="A274" s="349" t="s">
        <v>208</v>
      </c>
      <c r="B274" s="954" t="s">
        <v>863</v>
      </c>
      <c r="C274" s="954"/>
      <c r="D274" s="954"/>
      <c r="E274" s="954"/>
      <c r="F274" s="954"/>
      <c r="G274" s="954"/>
      <c r="H274" s="954"/>
      <c r="I274" s="954"/>
      <c r="J274" s="954"/>
      <c r="K274" s="954"/>
    </row>
    <row r="275" spans="1:11" s="14" customFormat="1" ht="28.5" customHeight="1">
      <c r="A275" s="349" t="s">
        <v>209</v>
      </c>
      <c r="B275" s="956" t="s">
        <v>862</v>
      </c>
      <c r="C275" s="956"/>
      <c r="D275" s="956"/>
      <c r="E275" s="956"/>
      <c r="F275" s="956"/>
      <c r="G275" s="956"/>
      <c r="H275" s="956"/>
      <c r="I275" s="956"/>
      <c r="J275" s="956"/>
      <c r="K275" s="956"/>
    </row>
    <row r="276" spans="1:11" s="14" customFormat="1">
      <c r="A276" s="349" t="s">
        <v>314</v>
      </c>
      <c r="B276" s="350" t="s">
        <v>503</v>
      </c>
      <c r="C276" s="350"/>
      <c r="D276" s="350"/>
      <c r="E276" s="350"/>
      <c r="F276" s="350"/>
      <c r="G276" s="350"/>
      <c r="H276" s="347"/>
      <c r="I276" s="351"/>
      <c r="J276" s="352"/>
      <c r="K276" s="352"/>
    </row>
    <row r="277" spans="1:11" s="14" customFormat="1">
      <c r="A277" s="353" t="s">
        <v>399</v>
      </c>
      <c r="B277" s="353" t="s">
        <v>492</v>
      </c>
      <c r="C277" s="353"/>
      <c r="D277" s="353"/>
      <c r="E277" s="353"/>
      <c r="F277" s="353"/>
      <c r="G277" s="353"/>
      <c r="H277" s="353"/>
      <c r="I277" s="353"/>
      <c r="J277" s="353"/>
      <c r="K277" s="353"/>
    </row>
    <row r="278" spans="1:11">
      <c r="A278" s="15" t="s">
        <v>479</v>
      </c>
      <c r="B278" s="15" t="s">
        <v>505</v>
      </c>
    </row>
    <row r="279" spans="1:11" ht="14.5">
      <c r="A279" s="511" t="s">
        <v>591</v>
      </c>
      <c r="B279" s="15" t="s">
        <v>593</v>
      </c>
    </row>
  </sheetData>
  <customSheetViews>
    <customSheetView guid="{F04A2B9A-C6FE-4FEB-AD1E-2CF9AC309BE4}" scale="70" showPageBreaks="1" printArea="1" view="pageBreakPreview" topLeftCell="A61">
      <selection activeCell="C103" sqref="C103"/>
      <rowBreaks count="4" manualBreakCount="4">
        <brk id="50" max="10" man="1"/>
        <brk id="107" max="16383" man="1"/>
        <brk id="170" max="10" man="1"/>
        <brk id="225" max="16383" man="1"/>
      </rowBreaks>
      <pageMargins left="0.7" right="0.7" top="0.75" bottom="0.75" header="0.3" footer="0.3"/>
      <pageSetup scale="51" fitToHeight="6" orientation="landscape" r:id="rId1"/>
    </customSheetView>
  </customSheetViews>
  <mergeCells count="26">
    <mergeCell ref="A57:K57"/>
    <mergeCell ref="A114:K114"/>
    <mergeCell ref="A180:K180"/>
    <mergeCell ref="B257:K257"/>
    <mergeCell ref="A246:K246"/>
    <mergeCell ref="B251:C251"/>
    <mergeCell ref="B252:K252"/>
    <mergeCell ref="B253:K253"/>
    <mergeCell ref="B254:K254"/>
    <mergeCell ref="B255:K255"/>
    <mergeCell ref="B256:K256"/>
    <mergeCell ref="B275:K275"/>
    <mergeCell ref="B267:K267"/>
    <mergeCell ref="B268:K268"/>
    <mergeCell ref="B269:K269"/>
    <mergeCell ref="B270:K270"/>
    <mergeCell ref="B271:K271"/>
    <mergeCell ref="A258:A262"/>
    <mergeCell ref="B272:K272"/>
    <mergeCell ref="B274:K274"/>
    <mergeCell ref="B258:K258"/>
    <mergeCell ref="B263:K263"/>
    <mergeCell ref="B264:K264"/>
    <mergeCell ref="B265:K265"/>
    <mergeCell ref="B266:K266"/>
    <mergeCell ref="B273:K273"/>
  </mergeCells>
  <phoneticPr fontId="0" type="noConversion"/>
  <pageMargins left="0.25" right="0.25" top="0.75" bottom="0.75" header="0.3" footer="0.3"/>
  <pageSetup scale="59" fitToHeight="0" orientation="landscape" r:id="rId2"/>
  <rowBreaks count="4" manualBreakCount="4">
    <brk id="50" max="16383" man="1"/>
    <brk id="108" max="16383" man="1"/>
    <brk id="173" max="16383" man="1"/>
    <brk id="239" max="16383" man="1"/>
  </rowBreaks>
  <customProperties>
    <customPr name="_pios_id" r:id="rId3"/>
  </customProperties>
  <ignoredErrors>
    <ignoredError sqref="C1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U113"/>
  <sheetViews>
    <sheetView zoomScale="130" zoomScaleNormal="130" workbookViewId="0"/>
  </sheetViews>
  <sheetFormatPr defaultColWidth="8.84375" defaultRowHeight="13"/>
  <cols>
    <col min="1" max="1" width="6" style="24" customWidth="1"/>
    <col min="2" max="2" width="1.4609375" style="24" customWidth="1"/>
    <col min="3" max="3" width="36" style="24" customWidth="1"/>
    <col min="4" max="4" width="13.765625" style="24" customWidth="1"/>
    <col min="5" max="5" width="17.53515625" style="24" customWidth="1"/>
    <col min="6" max="6" width="13.07421875" style="24" customWidth="1"/>
    <col min="7" max="7" width="14.4609375" style="24" customWidth="1"/>
    <col min="8" max="8" width="16.3046875" style="24" customWidth="1"/>
    <col min="9" max="9" width="13.765625" style="24" customWidth="1"/>
    <col min="10" max="10" width="14.4609375" style="24" customWidth="1"/>
    <col min="11" max="11" width="13.53515625" style="24" customWidth="1"/>
    <col min="12" max="13" width="15.765625" style="24" customWidth="1"/>
    <col min="14" max="15" width="14.4609375" style="24" customWidth="1"/>
    <col min="16" max="16" width="12.765625" style="24" customWidth="1"/>
    <col min="17" max="17" width="13.84375" style="24" customWidth="1"/>
    <col min="18" max="18" width="9.3046875" style="24" customWidth="1"/>
    <col min="19" max="19" width="13" style="24" customWidth="1"/>
    <col min="20" max="20" width="11.3046875" style="48" bestFit="1" customWidth="1"/>
    <col min="21" max="16384" width="8.84375" style="24"/>
  </cols>
  <sheetData>
    <row r="1" spans="1:21">
      <c r="Q1" s="52"/>
    </row>
    <row r="2" spans="1:21">
      <c r="Q2" s="52"/>
    </row>
    <row r="4" spans="1:21">
      <c r="Q4" s="52"/>
    </row>
    <row r="5" spans="1:21">
      <c r="D5" s="19"/>
      <c r="E5" s="19"/>
      <c r="F5" s="19"/>
      <c r="G5" s="20" t="s">
        <v>281</v>
      </c>
      <c r="H5" s="19"/>
      <c r="I5" s="19"/>
      <c r="J5" s="19"/>
      <c r="K5" s="19"/>
      <c r="L5" s="41"/>
      <c r="M5" s="53"/>
      <c r="N5" s="53"/>
      <c r="O5" s="53"/>
      <c r="P5" s="53"/>
      <c r="Q5" s="53"/>
      <c r="R5" s="25"/>
      <c r="S5" s="25" t="s">
        <v>945</v>
      </c>
      <c r="T5" s="612"/>
      <c r="U5" s="25"/>
    </row>
    <row r="6" spans="1:21">
      <c r="D6" s="19"/>
      <c r="E6" s="22" t="s">
        <v>10</v>
      </c>
      <c r="F6" s="22"/>
      <c r="G6" s="20" t="s">
        <v>280</v>
      </c>
      <c r="H6" s="22"/>
      <c r="I6" s="22"/>
      <c r="J6" s="22"/>
      <c r="K6" s="19"/>
      <c r="P6" s="25"/>
      <c r="Q6" s="19"/>
      <c r="R6" s="25"/>
      <c r="S6" s="55"/>
      <c r="T6" s="612"/>
      <c r="U6" s="25"/>
    </row>
    <row r="7" spans="1:21">
      <c r="C7" s="25"/>
      <c r="D7" s="25"/>
      <c r="E7" s="25"/>
      <c r="F7" s="25"/>
      <c r="G7" s="139" t="str">
        <f>+'Attachment H'!D5</f>
        <v>Gridliance High Plains LLC</v>
      </c>
      <c r="H7" s="25"/>
      <c r="I7" s="25"/>
      <c r="J7" s="25"/>
      <c r="K7" s="25"/>
      <c r="P7" s="25"/>
      <c r="Q7" s="25"/>
      <c r="R7" s="25"/>
      <c r="S7" s="54"/>
      <c r="T7" s="612"/>
      <c r="U7" s="25"/>
    </row>
    <row r="8" spans="1:21">
      <c r="A8" s="20"/>
      <c r="C8" s="25"/>
      <c r="D8" s="25"/>
      <c r="E8" s="25"/>
      <c r="F8" s="25"/>
      <c r="H8" s="25"/>
      <c r="I8" s="25"/>
      <c r="J8" s="25"/>
      <c r="K8" s="25"/>
      <c r="L8" s="25"/>
      <c r="M8" s="25"/>
      <c r="N8" s="25"/>
      <c r="O8" s="25"/>
      <c r="P8" s="25"/>
      <c r="Q8" s="25"/>
      <c r="R8" s="25"/>
      <c r="S8" s="54"/>
      <c r="T8" s="612"/>
      <c r="U8" s="25"/>
    </row>
    <row r="9" spans="1:21">
      <c r="A9" s="20"/>
      <c r="C9" s="25"/>
      <c r="D9" s="25"/>
      <c r="E9" s="25"/>
      <c r="F9" s="25"/>
      <c r="G9" s="56"/>
      <c r="H9" s="25"/>
      <c r="I9" s="25"/>
      <c r="J9" s="25"/>
      <c r="K9" s="25"/>
      <c r="L9" s="25"/>
      <c r="M9" s="25"/>
      <c r="N9" s="25"/>
      <c r="O9" s="25"/>
      <c r="P9" s="25"/>
      <c r="Q9" s="25"/>
      <c r="R9" s="25"/>
      <c r="S9" s="54"/>
      <c r="T9" s="612"/>
      <c r="U9" s="25"/>
    </row>
    <row r="10" spans="1:21">
      <c r="A10" s="20"/>
      <c r="C10" s="25" t="s">
        <v>509</v>
      </c>
      <c r="D10" s="25"/>
      <c r="E10" s="25"/>
      <c r="F10" s="25"/>
      <c r="G10" s="56"/>
      <c r="H10" s="25"/>
      <c r="I10" s="25"/>
      <c r="J10" s="25"/>
      <c r="K10" s="25"/>
      <c r="L10" s="25"/>
      <c r="M10" s="25"/>
      <c r="N10" s="25"/>
      <c r="O10" s="25"/>
      <c r="P10" s="25"/>
      <c r="Q10" s="25"/>
      <c r="R10" s="25"/>
      <c r="S10" s="54"/>
      <c r="T10" s="612"/>
      <c r="U10" s="25"/>
    </row>
    <row r="11" spans="1:21">
      <c r="A11" s="20"/>
      <c r="C11" s="25"/>
      <c r="D11" s="25"/>
      <c r="E11" s="25"/>
      <c r="F11" s="25"/>
      <c r="G11" s="56"/>
      <c r="L11" s="25"/>
      <c r="M11" s="25"/>
      <c r="N11" s="25"/>
      <c r="O11" s="25"/>
      <c r="P11" s="25"/>
      <c r="Q11" s="25"/>
      <c r="R11" s="25"/>
      <c r="S11" s="25"/>
      <c r="T11" s="449"/>
      <c r="U11" s="25"/>
    </row>
    <row r="12" spans="1:21">
      <c r="A12" s="20"/>
      <c r="C12" s="25"/>
      <c r="D12" s="25"/>
      <c r="E12" s="25"/>
      <c r="F12" s="25"/>
      <c r="G12" s="25"/>
      <c r="L12" s="22"/>
      <c r="M12" s="22"/>
      <c r="N12" s="22"/>
      <c r="O12" s="22"/>
      <c r="P12" s="25"/>
      <c r="Q12" s="25"/>
      <c r="R12" s="25"/>
      <c r="S12" s="25"/>
      <c r="T12" s="449"/>
      <c r="U12" s="25"/>
    </row>
    <row r="13" spans="1:21">
      <c r="C13" s="57" t="s">
        <v>11</v>
      </c>
      <c r="D13" s="57"/>
      <c r="E13" s="57" t="s">
        <v>12</v>
      </c>
      <c r="F13" s="57"/>
      <c r="I13" s="57" t="s">
        <v>13</v>
      </c>
      <c r="L13" s="58" t="s">
        <v>14</v>
      </c>
      <c r="M13" s="58"/>
      <c r="N13" s="58"/>
      <c r="O13" s="58"/>
      <c r="P13" s="22"/>
      <c r="Q13" s="58"/>
      <c r="R13" s="22"/>
      <c r="S13" s="58"/>
      <c r="U13" s="25"/>
    </row>
    <row r="14" spans="1:21">
      <c r="C14" s="25"/>
      <c r="D14" s="25"/>
      <c r="E14" s="59" t="s">
        <v>507</v>
      </c>
      <c r="F14" s="59"/>
      <c r="I14" s="22"/>
      <c r="P14" s="22"/>
      <c r="R14" s="22"/>
      <c r="S14" s="57"/>
      <c r="T14" s="112"/>
      <c r="U14" s="25"/>
    </row>
    <row r="15" spans="1:21">
      <c r="A15" s="20" t="s">
        <v>16</v>
      </c>
      <c r="C15" s="25"/>
      <c r="D15" s="25"/>
      <c r="E15" s="60" t="s">
        <v>26</v>
      </c>
      <c r="F15" s="60"/>
      <c r="I15" s="61" t="s">
        <v>25</v>
      </c>
      <c r="L15" s="61" t="s">
        <v>22</v>
      </c>
      <c r="M15" s="61"/>
      <c r="N15" s="61"/>
      <c r="O15" s="61"/>
      <c r="P15" s="22"/>
      <c r="R15" s="25"/>
      <c r="S15" s="62"/>
      <c r="T15" s="112"/>
      <c r="U15" s="25"/>
    </row>
    <row r="16" spans="1:21">
      <c r="A16" s="20" t="s">
        <v>18</v>
      </c>
      <c r="C16" s="63"/>
      <c r="D16" s="63"/>
      <c r="E16" s="22"/>
      <c r="F16" s="22"/>
      <c r="I16" s="22"/>
      <c r="L16" s="22"/>
      <c r="M16" s="22"/>
      <c r="N16" s="22"/>
      <c r="O16" s="22"/>
      <c r="P16" s="22"/>
      <c r="Q16" s="22"/>
      <c r="R16" s="25"/>
      <c r="S16" s="22"/>
      <c r="U16" s="25"/>
    </row>
    <row r="17" spans="1:21">
      <c r="A17" s="64"/>
      <c r="C17" s="25"/>
      <c r="D17" s="25"/>
      <c r="E17" s="22"/>
      <c r="F17" s="22"/>
      <c r="I17" s="22"/>
      <c r="L17" s="22"/>
      <c r="M17" s="22"/>
      <c r="N17" s="22"/>
      <c r="O17" s="22"/>
      <c r="P17" s="22"/>
      <c r="Q17" s="22"/>
      <c r="R17" s="25"/>
      <c r="S17" s="22"/>
      <c r="U17" s="25"/>
    </row>
    <row r="18" spans="1:21">
      <c r="A18" s="23">
        <v>1</v>
      </c>
      <c r="C18" s="25" t="s">
        <v>210</v>
      </c>
      <c r="D18" s="25"/>
      <c r="E18" s="65" t="s">
        <v>3</v>
      </c>
      <c r="F18" s="23"/>
      <c r="I18" s="48">
        <f>+'Attachment H'!I64+'Attachment H'!I93</f>
        <v>18189760.969999999</v>
      </c>
      <c r="P18" s="22"/>
      <c r="Q18" s="22"/>
      <c r="R18" s="25"/>
      <c r="S18" s="22"/>
      <c r="U18" s="25"/>
    </row>
    <row r="19" spans="1:21">
      <c r="A19" s="23">
        <v>2</v>
      </c>
      <c r="C19" s="25" t="s">
        <v>211</v>
      </c>
      <c r="D19" s="25"/>
      <c r="E19" s="65" t="s">
        <v>718</v>
      </c>
      <c r="F19" s="23"/>
      <c r="I19" s="48">
        <f>+'Attachment H'!I80+'Attachment H'!I93+'Attachment H'!I95</f>
        <v>15500851.321562758</v>
      </c>
      <c r="P19" s="22"/>
      <c r="Q19" s="22"/>
      <c r="R19" s="25"/>
      <c r="S19" s="22"/>
      <c r="U19" s="25"/>
    </row>
    <row r="20" spans="1:21">
      <c r="A20" s="23"/>
      <c r="E20" s="65"/>
      <c r="F20" s="23"/>
      <c r="P20" s="22"/>
      <c r="Q20" s="22"/>
      <c r="R20" s="25"/>
      <c r="S20" s="22"/>
      <c r="U20" s="25"/>
    </row>
    <row r="21" spans="1:21">
      <c r="A21" s="23"/>
      <c r="C21" s="25" t="s">
        <v>212</v>
      </c>
      <c r="D21" s="25"/>
      <c r="E21" s="65"/>
      <c r="F21" s="23"/>
      <c r="I21" s="22"/>
      <c r="L21" s="22"/>
      <c r="M21" s="22"/>
      <c r="N21" s="22"/>
      <c r="O21" s="22"/>
      <c r="P21" s="22"/>
      <c r="Q21" s="22"/>
      <c r="R21" s="22"/>
      <c r="S21" s="22"/>
      <c r="U21" s="25"/>
    </row>
    <row r="22" spans="1:21">
      <c r="A22" s="23">
        <v>3</v>
      </c>
      <c r="C22" s="25" t="s">
        <v>213</v>
      </c>
      <c r="D22" s="25"/>
      <c r="E22" s="65" t="s">
        <v>4</v>
      </c>
      <c r="F22" s="23"/>
      <c r="I22" s="48">
        <f>+'Attachment H'!I134</f>
        <v>771186.31993465172</v>
      </c>
      <c r="P22" s="22"/>
      <c r="Q22" s="22"/>
      <c r="R22" s="22"/>
      <c r="S22" s="22"/>
      <c r="U22" s="25"/>
    </row>
    <row r="23" spans="1:21">
      <c r="A23" s="23">
        <v>4</v>
      </c>
      <c r="C23" s="25" t="s">
        <v>214</v>
      </c>
      <c r="D23" s="25"/>
      <c r="E23" s="65" t="s">
        <v>215</v>
      </c>
      <c r="F23" s="23"/>
      <c r="I23" s="49">
        <f>IF(I18=0,0,I22/I18)</f>
        <v>4.2396726444429565E-2</v>
      </c>
      <c r="L23" s="613">
        <f>I23</f>
        <v>4.2396726444429565E-2</v>
      </c>
      <c r="M23" s="68"/>
      <c r="N23" s="68"/>
      <c r="O23" s="68"/>
      <c r="P23" s="22"/>
      <c r="Q23" s="69"/>
      <c r="R23" s="70"/>
      <c r="S23" s="71"/>
      <c r="U23" s="25"/>
    </row>
    <row r="24" spans="1:21">
      <c r="A24" s="23"/>
      <c r="C24" s="25"/>
      <c r="D24" s="25"/>
      <c r="E24" s="65"/>
      <c r="F24" s="23"/>
      <c r="I24" s="72"/>
      <c r="L24" s="68"/>
      <c r="M24" s="68"/>
      <c r="N24" s="68"/>
      <c r="O24" s="68"/>
      <c r="P24" s="22"/>
      <c r="Q24" s="69"/>
      <c r="R24" s="70"/>
      <c r="S24" s="71"/>
      <c r="U24" s="25"/>
    </row>
    <row r="25" spans="1:21">
      <c r="A25" s="58"/>
      <c r="C25" s="25" t="s">
        <v>714</v>
      </c>
      <c r="D25" s="25"/>
      <c r="E25" s="236"/>
      <c r="F25" s="51"/>
      <c r="I25" s="22"/>
      <c r="L25" s="22"/>
      <c r="M25" s="22"/>
      <c r="N25" s="22"/>
      <c r="O25" s="22"/>
      <c r="P25" s="22"/>
      <c r="Q25" s="69"/>
      <c r="R25" s="70"/>
      <c r="S25" s="71"/>
      <c r="U25" s="25"/>
    </row>
    <row r="26" spans="1:21">
      <c r="A26" s="58" t="s">
        <v>216</v>
      </c>
      <c r="C26" s="25" t="s">
        <v>716</v>
      </c>
      <c r="D26" s="25"/>
      <c r="E26" s="65" t="s">
        <v>5</v>
      </c>
      <c r="F26" s="23"/>
      <c r="I26" s="66">
        <f>+'Attachment H'!I138+'Attachment H'!I139</f>
        <v>160.60718830781821</v>
      </c>
      <c r="P26" s="22"/>
      <c r="Q26" s="69"/>
      <c r="R26" s="70"/>
      <c r="S26" s="71"/>
      <c r="U26" s="25"/>
    </row>
    <row r="27" spans="1:21">
      <c r="A27" s="58" t="s">
        <v>217</v>
      </c>
      <c r="C27" s="25" t="s">
        <v>715</v>
      </c>
      <c r="D27" s="25"/>
      <c r="E27" s="65" t="s">
        <v>218</v>
      </c>
      <c r="F27" s="23"/>
      <c r="I27" s="49">
        <f>IF(I26=0,0,I26/I18)</f>
        <v>8.8295381436130112E-6</v>
      </c>
      <c r="J27" s="49"/>
      <c r="K27" s="49"/>
      <c r="L27" s="73">
        <f>I27</f>
        <v>8.8295381436130112E-6</v>
      </c>
      <c r="M27" s="68"/>
      <c r="N27" s="68"/>
      <c r="O27" s="68"/>
      <c r="P27" s="22"/>
      <c r="Q27" s="69"/>
      <c r="R27" s="70"/>
      <c r="S27" s="71"/>
      <c r="U27" s="25"/>
    </row>
    <row r="28" spans="1:21">
      <c r="A28" s="23"/>
      <c r="C28" s="25"/>
      <c r="D28" s="25"/>
      <c r="E28" s="65"/>
      <c r="F28" s="23"/>
      <c r="I28" s="49"/>
      <c r="J28" s="49"/>
      <c r="K28" s="49"/>
      <c r="L28" s="73"/>
      <c r="M28" s="68"/>
      <c r="N28" s="68"/>
      <c r="O28" s="68"/>
      <c r="P28" s="22"/>
      <c r="Q28" s="69"/>
      <c r="R28" s="70"/>
      <c r="S28" s="71"/>
      <c r="U28" s="25"/>
    </row>
    <row r="29" spans="1:21">
      <c r="A29" s="58"/>
      <c r="C29" s="25" t="s">
        <v>219</v>
      </c>
      <c r="D29" s="25"/>
      <c r="E29" s="236"/>
      <c r="F29" s="51"/>
      <c r="I29" s="49"/>
      <c r="J29" s="49"/>
      <c r="K29" s="49"/>
      <c r="L29" s="49"/>
      <c r="M29" s="22"/>
      <c r="N29" s="22"/>
      <c r="O29" s="22"/>
      <c r="P29" s="22"/>
      <c r="Q29" s="22"/>
      <c r="R29" s="22"/>
      <c r="S29" s="22"/>
      <c r="U29" s="25"/>
    </row>
    <row r="30" spans="1:21">
      <c r="A30" s="58" t="s">
        <v>220</v>
      </c>
      <c r="C30" s="25" t="s">
        <v>221</v>
      </c>
      <c r="D30" s="25"/>
      <c r="E30" s="65" t="s">
        <v>681</v>
      </c>
      <c r="F30" s="23"/>
      <c r="I30" s="49">
        <f>+'Attachment H'!I152</f>
        <v>274801.85203399457</v>
      </c>
      <c r="J30" s="49"/>
      <c r="K30" s="49"/>
      <c r="L30" s="49"/>
      <c r="P30" s="22"/>
      <c r="Q30" s="62"/>
      <c r="R30" s="22"/>
      <c r="S30" s="23"/>
      <c r="T30" s="112"/>
      <c r="U30" s="25"/>
    </row>
    <row r="31" spans="1:21">
      <c r="A31" s="58" t="s">
        <v>222</v>
      </c>
      <c r="C31" s="25" t="s">
        <v>223</v>
      </c>
      <c r="D31" s="25"/>
      <c r="E31" s="65" t="s">
        <v>224</v>
      </c>
      <c r="F31" s="23"/>
      <c r="I31" s="49">
        <f>IF(I30=0,0,I30/I18)</f>
        <v>1.5107502098967636E-2</v>
      </c>
      <c r="J31" s="49"/>
      <c r="K31" s="49"/>
      <c r="L31" s="73">
        <f>I31</f>
        <v>1.5107502098967636E-2</v>
      </c>
      <c r="M31" s="68"/>
      <c r="N31" s="68"/>
      <c r="O31" s="68"/>
      <c r="P31" s="22"/>
      <c r="Q31" s="69"/>
      <c r="R31" s="22"/>
      <c r="S31" s="71"/>
      <c r="T31" s="112"/>
      <c r="U31" s="25"/>
    </row>
    <row r="32" spans="1:21">
      <c r="A32" s="58"/>
      <c r="C32" s="25"/>
      <c r="D32" s="25"/>
      <c r="E32" s="65"/>
      <c r="F32" s="23"/>
      <c r="I32" s="22"/>
      <c r="L32" s="22"/>
      <c r="M32" s="22"/>
      <c r="N32" s="22"/>
      <c r="O32" s="22"/>
      <c r="P32" s="22"/>
      <c r="U32" s="25"/>
    </row>
    <row r="33" spans="1:21">
      <c r="A33" s="58" t="s">
        <v>225</v>
      </c>
      <c r="C33" s="25" t="s">
        <v>272</v>
      </c>
      <c r="D33" s="25"/>
      <c r="E33" s="65" t="s">
        <v>6</v>
      </c>
      <c r="F33" s="23"/>
      <c r="I33" s="48">
        <f>-'Attachment H'!I19</f>
        <v>-71271.470000000016</v>
      </c>
      <c r="L33" s="22"/>
      <c r="M33" s="22"/>
      <c r="N33" s="22"/>
      <c r="O33" s="22"/>
      <c r="P33" s="22"/>
      <c r="U33" s="25"/>
    </row>
    <row r="34" spans="1:21">
      <c r="A34" s="58" t="s">
        <v>228</v>
      </c>
      <c r="C34" s="25" t="s">
        <v>671</v>
      </c>
      <c r="D34" s="25"/>
      <c r="E34" s="65" t="s">
        <v>266</v>
      </c>
      <c r="F34" s="23"/>
      <c r="I34" s="74">
        <f>IF(I33=0,0,I33/I18)</f>
        <v>-3.9182191628326837E-3</v>
      </c>
      <c r="L34" s="49">
        <f>+I34</f>
        <v>-3.9182191628326837E-3</v>
      </c>
      <c r="M34" s="22"/>
      <c r="N34" s="22"/>
      <c r="O34" s="22"/>
      <c r="P34" s="22"/>
      <c r="U34" s="25"/>
    </row>
    <row r="35" spans="1:21">
      <c r="A35" s="58"/>
      <c r="C35" s="25"/>
      <c r="D35" s="25"/>
      <c r="E35" s="65"/>
      <c r="F35" s="23"/>
      <c r="I35" s="22"/>
      <c r="L35" s="22"/>
      <c r="M35" s="22"/>
      <c r="N35" s="22"/>
      <c r="O35" s="22"/>
      <c r="P35" s="22"/>
      <c r="U35" s="25"/>
    </row>
    <row r="36" spans="1:21">
      <c r="A36" s="75" t="s">
        <v>229</v>
      </c>
      <c r="B36" s="76"/>
      <c r="C36" s="63" t="s">
        <v>226</v>
      </c>
      <c r="D36" s="63"/>
      <c r="E36" s="77" t="s">
        <v>267</v>
      </c>
      <c r="F36" s="59"/>
      <c r="I36" s="70"/>
      <c r="L36" s="614">
        <f>L23+L27+L31+L34</f>
        <v>5.3594838918708129E-2</v>
      </c>
      <c r="M36" s="79"/>
      <c r="N36" s="79"/>
      <c r="O36" s="79"/>
      <c r="P36" s="22"/>
      <c r="U36" s="25"/>
    </row>
    <row r="37" spans="1:21">
      <c r="A37" s="58"/>
      <c r="C37" s="25"/>
      <c r="D37" s="25"/>
      <c r="E37" s="65"/>
      <c r="F37" s="23"/>
      <c r="I37" s="22"/>
      <c r="L37" s="22"/>
      <c r="M37" s="22"/>
      <c r="N37" s="22"/>
      <c r="O37" s="22"/>
      <c r="P37" s="22"/>
      <c r="Q37" s="22"/>
      <c r="R37" s="22"/>
      <c r="S37" s="80"/>
      <c r="U37" s="25"/>
    </row>
    <row r="38" spans="1:21">
      <c r="A38" s="58"/>
      <c r="B38" s="81"/>
      <c r="C38" s="22" t="s">
        <v>227</v>
      </c>
      <c r="D38" s="22"/>
      <c r="E38" s="65"/>
      <c r="F38" s="23"/>
      <c r="I38" s="22"/>
      <c r="L38" s="22"/>
      <c r="M38" s="22"/>
      <c r="N38" s="22"/>
      <c r="O38" s="22"/>
      <c r="P38" s="82"/>
      <c r="Q38" s="81"/>
      <c r="T38" s="112"/>
      <c r="U38" s="22" t="s">
        <v>10</v>
      </c>
    </row>
    <row r="39" spans="1:21">
      <c r="A39" s="58" t="s">
        <v>231</v>
      </c>
      <c r="B39" s="81"/>
      <c r="C39" s="22" t="s">
        <v>52</v>
      </c>
      <c r="D39" s="22"/>
      <c r="E39" s="65" t="s">
        <v>682</v>
      </c>
      <c r="F39" s="23"/>
      <c r="I39" s="48">
        <f>+'Attachment H'!I167</f>
        <v>276731.70971103961</v>
      </c>
      <c r="L39" s="22"/>
      <c r="M39" s="22"/>
      <c r="N39" s="22"/>
      <c r="O39" s="22"/>
      <c r="P39" s="82"/>
      <c r="Q39" s="81"/>
      <c r="T39" s="112"/>
      <c r="U39" s="22"/>
    </row>
    <row r="40" spans="1:21">
      <c r="A40" s="58" t="s">
        <v>233</v>
      </c>
      <c r="B40" s="81"/>
      <c r="C40" s="22" t="s">
        <v>230</v>
      </c>
      <c r="D40" s="22"/>
      <c r="E40" s="65" t="s">
        <v>235</v>
      </c>
      <c r="F40" s="23"/>
      <c r="I40" s="49">
        <f>IF(I39=0,0,I39/I19)</f>
        <v>1.7852678151043654E-2</v>
      </c>
      <c r="L40" s="73">
        <f>I40</f>
        <v>1.7852678151043654E-2</v>
      </c>
      <c r="M40" s="68"/>
      <c r="N40" s="68"/>
      <c r="O40" s="68"/>
      <c r="P40" s="82"/>
      <c r="Q40" s="81"/>
      <c r="R40" s="22"/>
      <c r="S40" s="22"/>
      <c r="T40" s="112"/>
      <c r="U40" s="22"/>
    </row>
    <row r="41" spans="1:21">
      <c r="A41" s="58"/>
      <c r="C41" s="22"/>
      <c r="D41" s="22"/>
      <c r="E41" s="65"/>
      <c r="F41" s="23"/>
      <c r="I41" s="22"/>
      <c r="L41" s="22"/>
      <c r="M41" s="22"/>
      <c r="N41" s="22"/>
      <c r="O41" s="22"/>
      <c r="P41" s="22"/>
      <c r="R41" s="25"/>
      <c r="S41" s="22"/>
      <c r="T41" s="449"/>
      <c r="U41" s="25"/>
    </row>
    <row r="42" spans="1:21">
      <c r="A42" s="58"/>
      <c r="C42" s="25" t="s">
        <v>53</v>
      </c>
      <c r="D42" s="25"/>
      <c r="E42" s="83"/>
      <c r="F42" s="84"/>
      <c r="P42" s="22"/>
      <c r="R42" s="22"/>
      <c r="S42" s="22"/>
      <c r="U42" s="25"/>
    </row>
    <row r="43" spans="1:21">
      <c r="A43" s="58" t="s">
        <v>236</v>
      </c>
      <c r="C43" s="25" t="s">
        <v>232</v>
      </c>
      <c r="D43" s="25"/>
      <c r="E43" s="65" t="s">
        <v>683</v>
      </c>
      <c r="F43" s="23"/>
      <c r="I43" s="48">
        <f>+'Attachment H'!I170</f>
        <v>1200463.654814695</v>
      </c>
      <c r="L43" s="22"/>
      <c r="M43" s="22"/>
      <c r="N43" s="22"/>
      <c r="O43" s="22"/>
      <c r="P43" s="22"/>
      <c r="R43" s="22"/>
      <c r="S43" s="22"/>
      <c r="U43" s="25"/>
    </row>
    <row r="44" spans="1:21">
      <c r="A44" s="58" t="s">
        <v>264</v>
      </c>
      <c r="B44" s="81"/>
      <c r="C44" s="22" t="s">
        <v>234</v>
      </c>
      <c r="D44" s="22"/>
      <c r="E44" s="65" t="s">
        <v>717</v>
      </c>
      <c r="F44" s="23"/>
      <c r="I44" s="49">
        <f>IF(I43=0,0,I43/I19)</f>
        <v>7.7445014464771159E-2</v>
      </c>
      <c r="L44" s="73">
        <f>I44</f>
        <v>7.7445014464771159E-2</v>
      </c>
      <c r="M44" s="68"/>
      <c r="N44" s="68"/>
      <c r="O44" s="68"/>
      <c r="P44" s="22"/>
      <c r="S44" s="85"/>
      <c r="T44" s="112"/>
      <c r="U44" s="22"/>
    </row>
    <row r="45" spans="1:21">
      <c r="A45" s="58"/>
      <c r="C45" s="25"/>
      <c r="D45" s="25"/>
      <c r="E45" s="65"/>
      <c r="F45" s="23"/>
      <c r="I45" s="22"/>
      <c r="L45" s="22"/>
      <c r="M45" s="22"/>
      <c r="N45" s="22"/>
      <c r="O45" s="22"/>
      <c r="P45" s="22"/>
      <c r="Q45" s="84"/>
      <c r="R45" s="22"/>
      <c r="S45" s="22"/>
      <c r="U45" s="25"/>
    </row>
    <row r="46" spans="1:21">
      <c r="A46" s="75" t="s">
        <v>265</v>
      </c>
      <c r="B46" s="76"/>
      <c r="C46" s="63" t="s">
        <v>237</v>
      </c>
      <c r="D46" s="63"/>
      <c r="E46" s="77" t="s">
        <v>268</v>
      </c>
      <c r="F46" s="59"/>
      <c r="I46" s="48">
        <f>+I44+I40</f>
        <v>9.5297692615814805E-2</v>
      </c>
      <c r="L46" s="78">
        <f>L40+L44</f>
        <v>9.5297692615814805E-2</v>
      </c>
      <c r="M46" s="79"/>
      <c r="N46" s="79"/>
      <c r="O46" s="79"/>
      <c r="P46" s="22"/>
      <c r="Q46" s="84"/>
      <c r="R46" s="22"/>
      <c r="S46" s="22"/>
      <c r="U46" s="25"/>
    </row>
    <row r="47" spans="1:21">
      <c r="P47" s="86"/>
      <c r="Q47" s="86"/>
      <c r="R47" s="22"/>
      <c r="S47" s="22"/>
      <c r="U47" s="25"/>
    </row>
    <row r="48" spans="1:21">
      <c r="P48" s="86"/>
      <c r="Q48" s="86"/>
      <c r="R48" s="22"/>
      <c r="S48" s="22"/>
      <c r="U48" s="25"/>
    </row>
    <row r="49" spans="1:21">
      <c r="A49" s="87"/>
      <c r="C49" s="58"/>
      <c r="D49" s="58"/>
      <c r="E49" s="51"/>
      <c r="F49" s="51"/>
      <c r="G49" s="22"/>
      <c r="J49" s="72"/>
      <c r="P49" s="22"/>
      <c r="Q49" s="69"/>
      <c r="R49" s="53"/>
      <c r="S49" s="22"/>
      <c r="T49" s="112"/>
      <c r="U49" s="22"/>
    </row>
    <row r="50" spans="1:21">
      <c r="A50" s="20"/>
      <c r="G50" s="22"/>
      <c r="P50" s="22"/>
      <c r="Q50" s="22"/>
      <c r="R50" s="22"/>
      <c r="S50" s="22"/>
      <c r="T50" s="112"/>
      <c r="U50" s="22" t="s">
        <v>10</v>
      </c>
    </row>
    <row r="51" spans="1:21">
      <c r="Q51" s="52"/>
    </row>
    <row r="52" spans="1:21">
      <c r="Q52" s="52"/>
    </row>
    <row r="54" spans="1:21">
      <c r="A54" s="20"/>
      <c r="G54" s="22"/>
      <c r="P54" s="22"/>
      <c r="Q54" s="52"/>
      <c r="R54" s="22"/>
      <c r="S54" s="25"/>
      <c r="U54" s="25"/>
    </row>
    <row r="55" spans="1:21">
      <c r="A55" s="20"/>
      <c r="C55" s="25"/>
      <c r="D55" s="25"/>
      <c r="G55" s="51" t="str">
        <f>+G5</f>
        <v>Attachment 1</v>
      </c>
      <c r="H55" s="51"/>
      <c r="P55" s="22"/>
      <c r="Q55" s="52"/>
      <c r="R55" s="22"/>
      <c r="S55" s="24" t="s">
        <v>238</v>
      </c>
      <c r="U55" s="25"/>
    </row>
    <row r="56" spans="1:21">
      <c r="A56" s="20"/>
      <c r="C56" s="25"/>
      <c r="D56" s="25"/>
      <c r="G56" s="51" t="str">
        <f>+G6</f>
        <v>Project Revenue Requirement Worksheet</v>
      </c>
      <c r="H56" s="51"/>
      <c r="L56" s="22"/>
      <c r="M56" s="22"/>
      <c r="N56" s="22"/>
      <c r="O56" s="22"/>
      <c r="P56" s="22"/>
      <c r="R56" s="22"/>
      <c r="S56" s="25"/>
      <c r="U56" s="25"/>
    </row>
    <row r="57" spans="1:21" ht="14.25" customHeight="1">
      <c r="A57" s="20"/>
      <c r="G57" s="51" t="str">
        <f>+G7</f>
        <v>Gridliance High Plains LLC</v>
      </c>
      <c r="P57" s="22"/>
      <c r="R57" s="22"/>
      <c r="S57" s="25"/>
      <c r="U57" s="25"/>
    </row>
    <row r="58" spans="1:21">
      <c r="A58" s="20"/>
      <c r="H58" s="51"/>
      <c r="P58" s="22"/>
      <c r="Q58" s="22"/>
      <c r="R58" s="22"/>
      <c r="S58" s="25"/>
      <c r="U58" s="25"/>
    </row>
    <row r="59" spans="1:21">
      <c r="A59" s="20"/>
      <c r="E59" s="25"/>
      <c r="F59" s="25"/>
      <c r="G59" s="25"/>
      <c r="H59" s="25"/>
      <c r="I59" s="25"/>
      <c r="J59" s="25"/>
      <c r="K59" s="25"/>
      <c r="L59" s="25"/>
      <c r="M59" s="25"/>
      <c r="N59" s="25"/>
      <c r="O59" s="25"/>
      <c r="P59" s="25"/>
      <c r="Q59" s="25"/>
      <c r="R59" s="22"/>
      <c r="S59" s="25"/>
      <c r="U59" s="25"/>
    </row>
    <row r="60" spans="1:21">
      <c r="A60" s="20"/>
      <c r="E60" s="63"/>
      <c r="F60" s="63"/>
      <c r="H60" s="25"/>
      <c r="I60" s="25"/>
      <c r="J60" s="25"/>
      <c r="K60" s="25"/>
      <c r="L60" s="25"/>
      <c r="M60" s="25"/>
      <c r="N60" s="25"/>
      <c r="O60" s="25"/>
      <c r="P60" s="22"/>
      <c r="Q60" s="22"/>
      <c r="R60" s="22"/>
      <c r="S60" s="25"/>
      <c r="U60" s="25"/>
    </row>
    <row r="61" spans="1:21">
      <c r="A61" s="20"/>
      <c r="E61" s="63"/>
      <c r="F61" s="63"/>
      <c r="H61" s="25"/>
      <c r="I61" s="25"/>
      <c r="J61" s="25"/>
      <c r="K61" s="25"/>
      <c r="L61" s="25"/>
      <c r="M61" s="25"/>
      <c r="N61" s="25"/>
      <c r="O61" s="25"/>
      <c r="P61" s="22"/>
      <c r="Q61" s="22"/>
      <c r="R61" s="22"/>
      <c r="S61" s="25"/>
      <c r="U61" s="25"/>
    </row>
    <row r="62" spans="1:21">
      <c r="A62" s="20"/>
      <c r="C62" s="88">
        <v>-1</v>
      </c>
      <c r="D62" s="88">
        <v>-2</v>
      </c>
      <c r="E62" s="88">
        <v>-3</v>
      </c>
      <c r="F62" s="88">
        <v>-4</v>
      </c>
      <c r="G62" s="88">
        <v>-5</v>
      </c>
      <c r="H62" s="88">
        <v>-6</v>
      </c>
      <c r="I62" s="88">
        <v>-7</v>
      </c>
      <c r="J62" s="88">
        <v>-8</v>
      </c>
      <c r="K62" s="88">
        <v>-9</v>
      </c>
      <c r="L62" s="88">
        <v>-10</v>
      </c>
      <c r="M62" s="88">
        <v>-11</v>
      </c>
      <c r="N62" s="88">
        <v>-12</v>
      </c>
      <c r="O62" s="88" t="s">
        <v>580</v>
      </c>
      <c r="P62" s="88">
        <v>-13</v>
      </c>
      <c r="Q62" s="235" t="s">
        <v>456</v>
      </c>
      <c r="R62" s="235" t="s">
        <v>457</v>
      </c>
      <c r="S62" s="235" t="s">
        <v>496</v>
      </c>
      <c r="U62" s="25"/>
    </row>
    <row r="63" spans="1:21" ht="53.25" customHeight="1">
      <c r="A63" s="89" t="s">
        <v>239</v>
      </c>
      <c r="B63" s="90"/>
      <c r="C63" s="90" t="s">
        <v>783</v>
      </c>
      <c r="D63" s="91" t="s">
        <v>8</v>
      </c>
      <c r="E63" s="92" t="s">
        <v>240</v>
      </c>
      <c r="F63" s="92" t="s">
        <v>226</v>
      </c>
      <c r="G63" s="93" t="s">
        <v>241</v>
      </c>
      <c r="H63" s="92" t="s">
        <v>242</v>
      </c>
      <c r="I63" s="92" t="s">
        <v>237</v>
      </c>
      <c r="J63" s="93" t="s">
        <v>243</v>
      </c>
      <c r="K63" s="92" t="s">
        <v>269</v>
      </c>
      <c r="L63" s="94" t="s">
        <v>244</v>
      </c>
      <c r="M63" s="94" t="s">
        <v>271</v>
      </c>
      <c r="N63" s="94" t="s">
        <v>270</v>
      </c>
      <c r="O63" s="94" t="s">
        <v>578</v>
      </c>
      <c r="P63" s="94" t="s">
        <v>497</v>
      </c>
      <c r="Q63" s="94" t="s">
        <v>279</v>
      </c>
      <c r="R63" s="94" t="s">
        <v>245</v>
      </c>
      <c r="S63" s="94" t="s">
        <v>724</v>
      </c>
      <c r="U63" s="25"/>
    </row>
    <row r="64" spans="1:21" ht="46.5" customHeight="1">
      <c r="A64" s="95"/>
      <c r="B64" s="96"/>
      <c r="C64" s="96"/>
      <c r="D64" s="96"/>
      <c r="E64" s="97" t="s">
        <v>179</v>
      </c>
      <c r="F64" s="97" t="s">
        <v>472</v>
      </c>
      <c r="G64" s="98" t="s">
        <v>246</v>
      </c>
      <c r="H64" s="97" t="s">
        <v>576</v>
      </c>
      <c r="I64" s="97" t="s">
        <v>473</v>
      </c>
      <c r="J64" s="98" t="s">
        <v>247</v>
      </c>
      <c r="K64" s="97" t="s">
        <v>577</v>
      </c>
      <c r="L64" s="98" t="s">
        <v>248</v>
      </c>
      <c r="M64" s="97" t="s">
        <v>564</v>
      </c>
      <c r="N64" s="422" t="s">
        <v>723</v>
      </c>
      <c r="O64" s="99" t="s">
        <v>579</v>
      </c>
      <c r="P64" s="310" t="s">
        <v>500</v>
      </c>
      <c r="Q64" s="99" t="s">
        <v>498</v>
      </c>
      <c r="R64" s="100" t="s">
        <v>249</v>
      </c>
      <c r="S64" s="99" t="s">
        <v>499</v>
      </c>
      <c r="U64" s="25"/>
    </row>
    <row r="65" spans="1:21">
      <c r="A65" s="101"/>
      <c r="B65" s="25"/>
      <c r="C65" s="63" t="s">
        <v>1109</v>
      </c>
      <c r="D65" s="25"/>
      <c r="E65" s="25"/>
      <c r="F65" s="25"/>
      <c r="G65" s="102"/>
      <c r="H65" s="25"/>
      <c r="I65" s="25"/>
      <c r="J65" s="102"/>
      <c r="K65" s="25"/>
      <c r="L65" s="102"/>
      <c r="M65" s="419"/>
      <c r="N65" s="102"/>
      <c r="O65" s="102"/>
      <c r="P65" s="25"/>
      <c r="Q65" s="309"/>
      <c r="R65" s="22"/>
      <c r="S65" s="103"/>
      <c r="U65" s="25"/>
    </row>
    <row r="66" spans="1:21">
      <c r="A66" s="776" t="s">
        <v>643</v>
      </c>
      <c r="B66" s="104"/>
      <c r="C66" s="105" t="s">
        <v>1099</v>
      </c>
      <c r="D66" s="106"/>
      <c r="E66" s="770"/>
      <c r="F66" s="49">
        <f t="shared" ref="F66:F88" si="0">$L$36</f>
        <v>5.3594838918708129E-2</v>
      </c>
      <c r="G66" s="108">
        <f t="shared" ref="G66:G81" si="1">E66*F66</f>
        <v>0</v>
      </c>
      <c r="H66" s="770"/>
      <c r="I66" s="49">
        <f>$L$46</f>
        <v>9.5297692615814805E-2</v>
      </c>
      <c r="J66" s="108">
        <f>H66*I66</f>
        <v>0</v>
      </c>
      <c r="K66" s="775"/>
      <c r="L66" s="108">
        <f>G66+J66+K66</f>
        <v>0</v>
      </c>
      <c r="M66" s="775">
        <v>0</v>
      </c>
      <c r="N66" s="108">
        <f>+'2-Incentive ROE'!K$40*'1-Project Rev Req'!M66/100</f>
        <v>0</v>
      </c>
      <c r="O66" s="108">
        <f>+L66+N66</f>
        <v>0</v>
      </c>
      <c r="P66" s="775">
        <v>0</v>
      </c>
      <c r="Q66" s="371">
        <f t="shared" ref="Q66:Q88" si="2">+L66+N66-P66</f>
        <v>0</v>
      </c>
      <c r="R66" s="774">
        <f>'3-Project True-up'!$K$20</f>
        <v>0</v>
      </c>
      <c r="S66" s="371">
        <f>+Q66+R66</f>
        <v>0</v>
      </c>
    </row>
    <row r="67" spans="1:21">
      <c r="A67" s="776"/>
      <c r="B67" s="104"/>
      <c r="C67" s="105"/>
      <c r="D67" s="106"/>
      <c r="E67" s="107"/>
      <c r="F67" s="49">
        <f t="shared" si="0"/>
        <v>5.3594838918708129E-2</v>
      </c>
      <c r="G67" s="108">
        <f t="shared" si="1"/>
        <v>0</v>
      </c>
      <c r="H67" s="107"/>
      <c r="I67" s="49">
        <f t="shared" ref="I67:I88" si="3">$L$46</f>
        <v>9.5297692615814805E-2</v>
      </c>
      <c r="J67" s="108">
        <f t="shared" ref="J67:J88" si="4">H67*I67</f>
        <v>0</v>
      </c>
      <c r="K67" s="774"/>
      <c r="L67" s="108">
        <f t="shared" ref="L67:L88" si="5">G67+J67+K67</f>
        <v>0</v>
      </c>
      <c r="M67" s="774"/>
      <c r="N67" s="108">
        <f>+'2-Incentive ROE'!K$40*'1-Project Rev Req'!M67/100</f>
        <v>0</v>
      </c>
      <c r="O67" s="108">
        <f t="shared" ref="O67:O82" si="6">+L67+N67</f>
        <v>0</v>
      </c>
      <c r="P67" s="774"/>
      <c r="Q67" s="371">
        <f t="shared" si="2"/>
        <v>0</v>
      </c>
      <c r="R67" s="774"/>
      <c r="S67" s="371">
        <f>+Q67+R67</f>
        <v>0</v>
      </c>
    </row>
    <row r="68" spans="1:21" ht="24" customHeight="1">
      <c r="A68" s="776"/>
      <c r="B68" s="104"/>
      <c r="C68" s="771"/>
      <c r="D68" s="106"/>
      <c r="E68" s="107"/>
      <c r="F68" s="49">
        <f t="shared" si="0"/>
        <v>5.3594838918708129E-2</v>
      </c>
      <c r="G68" s="108">
        <f t="shared" si="1"/>
        <v>0</v>
      </c>
      <c r="H68" s="107"/>
      <c r="I68" s="49">
        <f t="shared" si="3"/>
        <v>9.5297692615814805E-2</v>
      </c>
      <c r="J68" s="108">
        <f>H68*I68</f>
        <v>0</v>
      </c>
      <c r="K68" s="774"/>
      <c r="L68" s="108">
        <f>G68+J68+K68</f>
        <v>0</v>
      </c>
      <c r="M68" s="774"/>
      <c r="N68" s="108">
        <f>+'2-Incentive ROE'!K$40*'1-Project Rev Req'!M68/100</f>
        <v>0</v>
      </c>
      <c r="O68" s="108">
        <f t="shared" si="6"/>
        <v>0</v>
      </c>
      <c r="P68" s="774"/>
      <c r="Q68" s="371">
        <f t="shared" si="2"/>
        <v>0</v>
      </c>
      <c r="R68" s="774"/>
      <c r="S68" s="371">
        <f>+Q68+R68</f>
        <v>0</v>
      </c>
    </row>
    <row r="69" spans="1:21">
      <c r="A69" s="776" t="s">
        <v>644</v>
      </c>
      <c r="B69" s="104"/>
      <c r="C69" s="105"/>
      <c r="D69" s="106"/>
      <c r="E69" s="107"/>
      <c r="F69" s="49">
        <f t="shared" si="0"/>
        <v>5.3594838918708129E-2</v>
      </c>
      <c r="G69" s="108">
        <f t="shared" si="1"/>
        <v>0</v>
      </c>
      <c r="H69" s="107"/>
      <c r="I69" s="49">
        <f t="shared" si="3"/>
        <v>9.5297692615814805E-2</v>
      </c>
      <c r="J69" s="108">
        <f t="shared" si="4"/>
        <v>0</v>
      </c>
      <c r="K69" s="775"/>
      <c r="L69" s="108">
        <f t="shared" si="5"/>
        <v>0</v>
      </c>
      <c r="M69" s="775">
        <v>0</v>
      </c>
      <c r="N69" s="108">
        <f>+'2-Incentive ROE'!K$40*'1-Project Rev Req'!M69/100</f>
        <v>0</v>
      </c>
      <c r="O69" s="108">
        <f t="shared" si="6"/>
        <v>0</v>
      </c>
      <c r="P69" s="775">
        <v>0</v>
      </c>
      <c r="Q69" s="371">
        <f t="shared" si="2"/>
        <v>0</v>
      </c>
      <c r="R69" s="775">
        <f>'3-Project True-up'!$K$22</f>
        <v>0</v>
      </c>
      <c r="S69" s="371">
        <f>+Q69+R69</f>
        <v>0</v>
      </c>
    </row>
    <row r="70" spans="1:21">
      <c r="A70" s="776"/>
      <c r="B70" s="104"/>
      <c r="C70" s="105"/>
      <c r="D70" s="106"/>
      <c r="E70" s="107"/>
      <c r="F70" s="49">
        <f t="shared" si="0"/>
        <v>5.3594838918708129E-2</v>
      </c>
      <c r="G70" s="108">
        <f t="shared" si="1"/>
        <v>0</v>
      </c>
      <c r="H70" s="107"/>
      <c r="I70" s="49">
        <f t="shared" si="3"/>
        <v>9.5297692615814805E-2</v>
      </c>
      <c r="J70" s="108">
        <f t="shared" si="4"/>
        <v>0</v>
      </c>
      <c r="K70" s="775"/>
      <c r="L70" s="108">
        <f t="shared" si="5"/>
        <v>0</v>
      </c>
      <c r="M70" s="775"/>
      <c r="N70" s="108">
        <f>+'2-Incentive ROE'!K$40*'1-Project Rev Req'!M70/100</f>
        <v>0</v>
      </c>
      <c r="O70" s="108">
        <f t="shared" si="6"/>
        <v>0</v>
      </c>
      <c r="P70" s="775"/>
      <c r="Q70" s="371">
        <f t="shared" si="2"/>
        <v>0</v>
      </c>
      <c r="R70" s="775"/>
      <c r="S70" s="371">
        <f>+Q70+R70</f>
        <v>0</v>
      </c>
    </row>
    <row r="71" spans="1:21">
      <c r="A71" s="776"/>
      <c r="B71" s="104"/>
      <c r="C71" s="772" t="s">
        <v>1100</v>
      </c>
      <c r="D71" s="106"/>
      <c r="E71" s="107"/>
      <c r="F71" s="49">
        <f t="shared" si="0"/>
        <v>5.3594838918708129E-2</v>
      </c>
      <c r="G71" s="108">
        <f t="shared" si="1"/>
        <v>0</v>
      </c>
      <c r="H71" s="107"/>
      <c r="I71" s="49">
        <f t="shared" si="3"/>
        <v>9.5297692615814805E-2</v>
      </c>
      <c r="J71" s="108">
        <f t="shared" si="4"/>
        <v>0</v>
      </c>
      <c r="K71" s="774"/>
      <c r="L71" s="108">
        <f t="shared" si="5"/>
        <v>0</v>
      </c>
      <c r="M71" s="774"/>
      <c r="N71" s="108">
        <f>+'2-Incentive ROE'!K$40*'1-Project Rev Req'!M71/100</f>
        <v>0</v>
      </c>
      <c r="O71" s="108">
        <f t="shared" si="6"/>
        <v>0</v>
      </c>
      <c r="P71" s="774"/>
      <c r="Q71" s="371">
        <f t="shared" si="2"/>
        <v>0</v>
      </c>
      <c r="R71" s="774"/>
      <c r="S71" s="371">
        <f t="shared" ref="S71:S89" si="7">L71+R71</f>
        <v>0</v>
      </c>
    </row>
    <row r="72" spans="1:21">
      <c r="A72" s="776" t="s">
        <v>645</v>
      </c>
      <c r="B72" s="104"/>
      <c r="C72" s="105" t="s">
        <v>1101</v>
      </c>
      <c r="D72" s="106"/>
      <c r="E72" s="107"/>
      <c r="F72" s="49">
        <f t="shared" si="0"/>
        <v>5.3594838918708129E-2</v>
      </c>
      <c r="G72" s="108">
        <f t="shared" si="1"/>
        <v>0</v>
      </c>
      <c r="H72" s="107"/>
      <c r="I72" s="49">
        <f t="shared" si="3"/>
        <v>9.5297692615814805E-2</v>
      </c>
      <c r="J72" s="108">
        <f t="shared" si="4"/>
        <v>0</v>
      </c>
      <c r="K72" s="775"/>
      <c r="L72" s="108">
        <f t="shared" si="5"/>
        <v>0</v>
      </c>
      <c r="M72" s="775">
        <v>0</v>
      </c>
      <c r="N72" s="108">
        <f>+'2-Incentive ROE'!K$40*'1-Project Rev Req'!M72/100</f>
        <v>0</v>
      </c>
      <c r="O72" s="108">
        <f t="shared" si="6"/>
        <v>0</v>
      </c>
      <c r="P72" s="775">
        <v>0</v>
      </c>
      <c r="Q72" s="371">
        <f t="shared" si="2"/>
        <v>0</v>
      </c>
      <c r="R72" s="774">
        <f>'3-Project True-up'!$K$24</f>
        <v>0</v>
      </c>
      <c r="S72" s="371">
        <f t="shared" si="7"/>
        <v>0</v>
      </c>
    </row>
    <row r="73" spans="1:21">
      <c r="A73" s="776"/>
      <c r="B73" s="104"/>
      <c r="C73" s="105"/>
      <c r="D73" s="109"/>
      <c r="E73" s="107"/>
      <c r="F73" s="49">
        <f t="shared" si="0"/>
        <v>5.3594838918708129E-2</v>
      </c>
      <c r="G73" s="108">
        <f t="shared" si="1"/>
        <v>0</v>
      </c>
      <c r="H73" s="107"/>
      <c r="I73" s="49">
        <f t="shared" si="3"/>
        <v>9.5297692615814805E-2</v>
      </c>
      <c r="J73" s="108">
        <f t="shared" si="4"/>
        <v>0</v>
      </c>
      <c r="K73" s="774"/>
      <c r="L73" s="108">
        <f t="shared" si="5"/>
        <v>0</v>
      </c>
      <c r="M73" s="774"/>
      <c r="N73" s="108">
        <f>+'2-Incentive ROE'!K$40*'1-Project Rev Req'!M73/100</f>
        <v>0</v>
      </c>
      <c r="O73" s="108">
        <f t="shared" si="6"/>
        <v>0</v>
      </c>
      <c r="P73" s="774"/>
      <c r="Q73" s="371">
        <f t="shared" si="2"/>
        <v>0</v>
      </c>
      <c r="R73" s="774"/>
      <c r="S73" s="371">
        <f t="shared" si="7"/>
        <v>0</v>
      </c>
    </row>
    <row r="74" spans="1:21">
      <c r="A74" s="776"/>
      <c r="B74" s="104"/>
      <c r="C74" s="105"/>
      <c r="D74" s="106"/>
      <c r="E74" s="107"/>
      <c r="F74" s="49">
        <f t="shared" si="0"/>
        <v>5.3594838918708129E-2</v>
      </c>
      <c r="G74" s="108">
        <f t="shared" si="1"/>
        <v>0</v>
      </c>
      <c r="H74" s="107"/>
      <c r="I74" s="49">
        <f t="shared" si="3"/>
        <v>9.5297692615814805E-2</v>
      </c>
      <c r="J74" s="108">
        <f t="shared" si="4"/>
        <v>0</v>
      </c>
      <c r="K74" s="774"/>
      <c r="L74" s="108">
        <f t="shared" si="5"/>
        <v>0</v>
      </c>
      <c r="M74" s="774"/>
      <c r="N74" s="108">
        <f>+'2-Incentive ROE'!K$40*'1-Project Rev Req'!M74/100</f>
        <v>0</v>
      </c>
      <c r="O74" s="108">
        <f t="shared" si="6"/>
        <v>0</v>
      </c>
      <c r="P74" s="774"/>
      <c r="Q74" s="371">
        <f t="shared" si="2"/>
        <v>0</v>
      </c>
      <c r="R74" s="774"/>
      <c r="S74" s="371">
        <f t="shared" si="7"/>
        <v>0</v>
      </c>
    </row>
    <row r="75" spans="1:21">
      <c r="A75" s="776" t="s">
        <v>1106</v>
      </c>
      <c r="B75" s="104"/>
      <c r="C75" s="105"/>
      <c r="D75" s="106"/>
      <c r="E75" s="107"/>
      <c r="F75" s="49">
        <f t="shared" si="0"/>
        <v>5.3594838918708129E-2</v>
      </c>
      <c r="G75" s="108">
        <f t="shared" si="1"/>
        <v>0</v>
      </c>
      <c r="H75" s="107"/>
      <c r="I75" s="49">
        <f t="shared" si="3"/>
        <v>9.5297692615814805E-2</v>
      </c>
      <c r="J75" s="108">
        <f t="shared" si="4"/>
        <v>0</v>
      </c>
      <c r="K75" s="774"/>
      <c r="L75" s="108">
        <f t="shared" si="5"/>
        <v>0</v>
      </c>
      <c r="M75" s="774"/>
      <c r="N75" s="108">
        <f>+'2-Incentive ROE'!K$40*'1-Project Rev Req'!M75/100</f>
        <v>0</v>
      </c>
      <c r="O75" s="108">
        <f t="shared" si="6"/>
        <v>0</v>
      </c>
      <c r="P75" s="774"/>
      <c r="Q75" s="371">
        <f t="shared" si="2"/>
        <v>0</v>
      </c>
      <c r="R75" s="774"/>
      <c r="S75" s="371">
        <f t="shared" si="7"/>
        <v>0</v>
      </c>
    </row>
    <row r="76" spans="1:21">
      <c r="A76" s="776"/>
      <c r="B76" s="104"/>
      <c r="C76" s="105"/>
      <c r="D76" s="106"/>
      <c r="E76" s="107"/>
      <c r="F76" s="49">
        <f t="shared" si="0"/>
        <v>5.3594838918708129E-2</v>
      </c>
      <c r="G76" s="108">
        <f t="shared" si="1"/>
        <v>0</v>
      </c>
      <c r="H76" s="107"/>
      <c r="I76" s="49">
        <f t="shared" si="3"/>
        <v>9.5297692615814805E-2</v>
      </c>
      <c r="J76" s="108">
        <f t="shared" si="4"/>
        <v>0</v>
      </c>
      <c r="K76" s="775"/>
      <c r="L76" s="108">
        <f t="shared" si="5"/>
        <v>0</v>
      </c>
      <c r="M76" s="775"/>
      <c r="N76" s="108">
        <f>+'2-Incentive ROE'!K$40*'1-Project Rev Req'!M76/100</f>
        <v>0</v>
      </c>
      <c r="O76" s="108">
        <f t="shared" si="6"/>
        <v>0</v>
      </c>
      <c r="P76" s="775"/>
      <c r="Q76" s="371">
        <f t="shared" si="2"/>
        <v>0</v>
      </c>
      <c r="R76" s="774"/>
      <c r="S76" s="371">
        <f t="shared" si="7"/>
        <v>0</v>
      </c>
    </row>
    <row r="77" spans="1:21">
      <c r="A77" s="776"/>
      <c r="B77" s="104"/>
      <c r="C77" s="771" t="s">
        <v>1102</v>
      </c>
      <c r="D77" s="106"/>
      <c r="E77" s="107"/>
      <c r="F77" s="49">
        <f t="shared" si="0"/>
        <v>5.3594838918708129E-2</v>
      </c>
      <c r="G77" s="108">
        <f t="shared" si="1"/>
        <v>0</v>
      </c>
      <c r="H77" s="107"/>
      <c r="I77" s="49">
        <f t="shared" si="3"/>
        <v>9.5297692615814805E-2</v>
      </c>
      <c r="J77" s="108">
        <f t="shared" si="4"/>
        <v>0</v>
      </c>
      <c r="K77" s="774"/>
      <c r="L77" s="108">
        <f t="shared" si="5"/>
        <v>0</v>
      </c>
      <c r="M77" s="774"/>
      <c r="N77" s="108">
        <f>+'2-Incentive ROE'!K$40*'1-Project Rev Req'!M77/100</f>
        <v>0</v>
      </c>
      <c r="O77" s="108">
        <f t="shared" si="6"/>
        <v>0</v>
      </c>
      <c r="P77" s="774"/>
      <c r="Q77" s="371">
        <f t="shared" si="2"/>
        <v>0</v>
      </c>
      <c r="R77" s="774"/>
      <c r="S77" s="371">
        <f t="shared" si="7"/>
        <v>0</v>
      </c>
    </row>
    <row r="78" spans="1:21">
      <c r="A78" s="776" t="s">
        <v>1107</v>
      </c>
      <c r="B78" s="104"/>
      <c r="C78" s="105" t="s">
        <v>1103</v>
      </c>
      <c r="D78" s="106"/>
      <c r="E78" s="107">
        <v>17766034.6752</v>
      </c>
      <c r="F78" s="49">
        <f>$L$36</f>
        <v>5.3594838918708129E-2</v>
      </c>
      <c r="G78" s="371">
        <f t="shared" si="1"/>
        <v>952167.76664152707</v>
      </c>
      <c r="H78" s="770">
        <v>15135238.881262757</v>
      </c>
      <c r="I78" s="49">
        <f t="shared" si="3"/>
        <v>9.5297692615814805E-2</v>
      </c>
      <c r="J78" s="371">
        <f t="shared" si="4"/>
        <v>1442353.342573507</v>
      </c>
      <c r="K78" s="775">
        <f>(E78/$E$90)*'5-P3 Support'!$M$24</f>
        <v>387793.23056873132</v>
      </c>
      <c r="L78" s="371">
        <f t="shared" si="5"/>
        <v>2782314.3397837654</v>
      </c>
      <c r="M78" s="775">
        <v>0</v>
      </c>
      <c r="N78" s="108">
        <f>+'2-Incentive ROE'!K$40*'1-Project Rev Req'!M78/100</f>
        <v>0</v>
      </c>
      <c r="O78" s="371">
        <f t="shared" si="6"/>
        <v>2782314.3397837654</v>
      </c>
      <c r="P78" s="775">
        <v>0</v>
      </c>
      <c r="Q78" s="371">
        <f t="shared" si="2"/>
        <v>2782314.3397837654</v>
      </c>
      <c r="R78" s="774">
        <f>'3-Project True-up'!K26</f>
        <v>-414832.57317662978</v>
      </c>
      <c r="S78" s="371">
        <f t="shared" si="7"/>
        <v>2367481.7666071355</v>
      </c>
    </row>
    <row r="79" spans="1:21">
      <c r="A79" s="776"/>
      <c r="B79" s="104"/>
      <c r="C79" s="105"/>
      <c r="D79" s="106"/>
      <c r="E79" s="107"/>
      <c r="F79" s="49">
        <f t="shared" si="0"/>
        <v>5.3594838918708129E-2</v>
      </c>
      <c r="G79" s="108">
        <f t="shared" si="1"/>
        <v>0</v>
      </c>
      <c r="H79" s="774"/>
      <c r="I79" s="49">
        <f t="shared" si="3"/>
        <v>9.5297692615814805E-2</v>
      </c>
      <c r="J79" s="108">
        <f t="shared" si="4"/>
        <v>0</v>
      </c>
      <c r="K79" s="775"/>
      <c r="L79" s="108">
        <f t="shared" si="5"/>
        <v>0</v>
      </c>
      <c r="M79" s="775"/>
      <c r="N79" s="108">
        <f>+'2-Incentive ROE'!K$40*'1-Project Rev Req'!M79/100</f>
        <v>0</v>
      </c>
      <c r="O79" s="108">
        <f t="shared" si="6"/>
        <v>0</v>
      </c>
      <c r="P79" s="775"/>
      <c r="Q79" s="371">
        <f t="shared" si="2"/>
        <v>0</v>
      </c>
      <c r="R79" s="774"/>
      <c r="S79" s="371">
        <f t="shared" si="7"/>
        <v>0</v>
      </c>
    </row>
    <row r="80" spans="1:21">
      <c r="A80" s="776"/>
      <c r="B80" s="104"/>
      <c r="C80" s="105"/>
      <c r="D80" s="106"/>
      <c r="E80" s="107"/>
      <c r="F80" s="49">
        <f t="shared" si="0"/>
        <v>5.3594838918708129E-2</v>
      </c>
      <c r="G80" s="108">
        <f t="shared" si="1"/>
        <v>0</v>
      </c>
      <c r="H80" s="774"/>
      <c r="I80" s="49">
        <f t="shared" si="3"/>
        <v>9.5297692615814805E-2</v>
      </c>
      <c r="J80" s="108">
        <f t="shared" si="4"/>
        <v>0</v>
      </c>
      <c r="K80" s="774"/>
      <c r="L80" s="108">
        <f t="shared" si="5"/>
        <v>0</v>
      </c>
      <c r="M80" s="774"/>
      <c r="N80" s="108">
        <f>+'2-Incentive ROE'!K$40*'1-Project Rev Req'!M80/100</f>
        <v>0</v>
      </c>
      <c r="O80" s="108">
        <f t="shared" si="6"/>
        <v>0</v>
      </c>
      <c r="P80" s="774"/>
      <c r="Q80" s="371">
        <f t="shared" si="2"/>
        <v>0</v>
      </c>
      <c r="R80" s="774"/>
      <c r="S80" s="371">
        <f t="shared" si="7"/>
        <v>0</v>
      </c>
    </row>
    <row r="81" spans="1:19">
      <c r="A81" s="776"/>
      <c r="C81" s="771" t="s">
        <v>1104</v>
      </c>
      <c r="D81" s="106"/>
      <c r="E81" s="107"/>
      <c r="F81" s="49">
        <f t="shared" si="0"/>
        <v>5.3594838918708129E-2</v>
      </c>
      <c r="G81" s="108">
        <f t="shared" si="1"/>
        <v>0</v>
      </c>
      <c r="H81" s="774"/>
      <c r="I81" s="49">
        <f t="shared" si="3"/>
        <v>9.5297692615814805E-2</v>
      </c>
      <c r="J81" s="108">
        <f t="shared" si="4"/>
        <v>0</v>
      </c>
      <c r="K81" s="774"/>
      <c r="L81" s="108">
        <f t="shared" si="5"/>
        <v>0</v>
      </c>
      <c r="M81" s="774"/>
      <c r="N81" s="108">
        <f>+'2-Incentive ROE'!K$40*'1-Project Rev Req'!M81/100</f>
        <v>0</v>
      </c>
      <c r="O81" s="108">
        <f t="shared" si="6"/>
        <v>0</v>
      </c>
      <c r="P81" s="774"/>
      <c r="Q81" s="371">
        <f t="shared" si="2"/>
        <v>0</v>
      </c>
      <c r="R81" s="774"/>
      <c r="S81" s="371">
        <f t="shared" si="7"/>
        <v>0</v>
      </c>
    </row>
    <row r="82" spans="1:19">
      <c r="A82" s="776" t="s">
        <v>1108</v>
      </c>
      <c r="C82" s="105" t="s">
        <v>1105</v>
      </c>
      <c r="D82" s="106"/>
      <c r="E82" s="107">
        <v>423726.29481040005</v>
      </c>
      <c r="F82" s="49">
        <f t="shared" si="0"/>
        <v>5.3594838918708129E-2</v>
      </c>
      <c r="G82" s="371">
        <f>E82*F82</f>
        <v>22709.542515984424</v>
      </c>
      <c r="H82" s="775">
        <v>365612.44028432353</v>
      </c>
      <c r="I82" s="49">
        <f t="shared" si="3"/>
        <v>9.5297692615814805E-2</v>
      </c>
      <c r="J82" s="371">
        <f t="shared" si="4"/>
        <v>34842.021950733411</v>
      </c>
      <c r="K82" s="775">
        <f>(E82/$E$90)*'5-P3 Support'!$M$24</f>
        <v>9249.0075442000052</v>
      </c>
      <c r="L82" s="371">
        <f t="shared" si="5"/>
        <v>66800.572010917836</v>
      </c>
      <c r="M82" s="775">
        <v>0</v>
      </c>
      <c r="N82" s="108">
        <f>+'2-Incentive ROE'!K$40*'1-Project Rev Req'!M82/100</f>
        <v>0</v>
      </c>
      <c r="O82" s="371">
        <f t="shared" si="6"/>
        <v>66800.572010917836</v>
      </c>
      <c r="P82" s="775">
        <v>0</v>
      </c>
      <c r="Q82" s="371">
        <f t="shared" si="2"/>
        <v>66800.572010917836</v>
      </c>
      <c r="R82" s="774">
        <f>'3-Project True-up'!K28</f>
        <v>-83631.418748088588</v>
      </c>
      <c r="S82" s="371">
        <f t="shared" si="7"/>
        <v>-16830.846737170752</v>
      </c>
    </row>
    <row r="83" spans="1:19">
      <c r="A83" s="776"/>
      <c r="C83" s="105"/>
      <c r="D83" s="106"/>
      <c r="E83" s="107"/>
      <c r="F83" s="49">
        <f t="shared" si="0"/>
        <v>5.3594838918708129E-2</v>
      </c>
      <c r="G83" s="108">
        <f t="shared" ref="G83:G88" si="8">E83*F83</f>
        <v>0</v>
      </c>
      <c r="H83" s="775"/>
      <c r="I83" s="49">
        <f t="shared" si="3"/>
        <v>9.5297692615814805E-2</v>
      </c>
      <c r="J83" s="108">
        <f t="shared" si="4"/>
        <v>0</v>
      </c>
      <c r="K83" s="775"/>
      <c r="L83" s="108">
        <f t="shared" si="5"/>
        <v>0</v>
      </c>
      <c r="M83" s="775"/>
      <c r="N83" s="108">
        <f>+'2-Incentive ROE'!K$40*'1-Project Rev Req'!M83/100</f>
        <v>0</v>
      </c>
      <c r="O83" s="108">
        <f t="shared" ref="O83:O88" si="9">+L83+N83</f>
        <v>0</v>
      </c>
      <c r="P83" s="775"/>
      <c r="Q83" s="371">
        <f t="shared" si="2"/>
        <v>0</v>
      </c>
      <c r="R83" s="774"/>
      <c r="S83" s="371">
        <f t="shared" si="7"/>
        <v>0</v>
      </c>
    </row>
    <row r="84" spans="1:19">
      <c r="A84" s="776"/>
      <c r="C84" s="105" t="s">
        <v>1136</v>
      </c>
      <c r="D84" s="106"/>
      <c r="E84" s="107"/>
      <c r="F84" s="49">
        <f t="shared" si="0"/>
        <v>5.3594838918708129E-2</v>
      </c>
      <c r="G84" s="108">
        <f t="shared" si="8"/>
        <v>0</v>
      </c>
      <c r="H84" s="775"/>
      <c r="I84" s="49">
        <f t="shared" si="3"/>
        <v>9.5297692615814805E-2</v>
      </c>
      <c r="J84" s="108">
        <f t="shared" si="4"/>
        <v>0</v>
      </c>
      <c r="K84" s="775"/>
      <c r="L84" s="108">
        <f t="shared" si="5"/>
        <v>0</v>
      </c>
      <c r="M84" s="775"/>
      <c r="N84" s="108">
        <f>+'2-Incentive ROE'!K$40*'1-Project Rev Req'!M84/100</f>
        <v>0</v>
      </c>
      <c r="O84" s="108">
        <f t="shared" si="9"/>
        <v>0</v>
      </c>
      <c r="P84" s="775"/>
      <c r="Q84" s="371">
        <f t="shared" si="2"/>
        <v>0</v>
      </c>
      <c r="R84" s="774">
        <f>'3-Project True-up'!K30</f>
        <v>0</v>
      </c>
      <c r="S84" s="371">
        <f t="shared" si="7"/>
        <v>0</v>
      </c>
    </row>
    <row r="85" spans="1:19">
      <c r="A85" s="776"/>
      <c r="C85" s="105" t="s">
        <v>1137</v>
      </c>
      <c r="D85" s="106"/>
      <c r="E85" s="107"/>
      <c r="F85" s="49">
        <f t="shared" si="0"/>
        <v>5.3594838918708129E-2</v>
      </c>
      <c r="G85" s="108">
        <f t="shared" si="8"/>
        <v>0</v>
      </c>
      <c r="H85" s="775"/>
      <c r="I85" s="49">
        <f t="shared" si="3"/>
        <v>9.5297692615814805E-2</v>
      </c>
      <c r="J85" s="108">
        <f t="shared" si="4"/>
        <v>0</v>
      </c>
      <c r="K85" s="775"/>
      <c r="L85" s="108">
        <f t="shared" si="5"/>
        <v>0</v>
      </c>
      <c r="M85" s="775"/>
      <c r="N85" s="108">
        <f>+'2-Incentive ROE'!K$40*'1-Project Rev Req'!M85/100</f>
        <v>0</v>
      </c>
      <c r="O85" s="108">
        <f t="shared" si="9"/>
        <v>0</v>
      </c>
      <c r="P85" s="775"/>
      <c r="Q85" s="371">
        <f t="shared" si="2"/>
        <v>0</v>
      </c>
      <c r="R85" s="774">
        <f>'3-Project True-up'!K31</f>
        <v>0</v>
      </c>
      <c r="S85" s="371">
        <f t="shared" si="7"/>
        <v>0</v>
      </c>
    </row>
    <row r="86" spans="1:19">
      <c r="A86" s="776"/>
      <c r="C86" s="105"/>
      <c r="D86" s="106"/>
      <c r="E86" s="107"/>
      <c r="F86" s="49">
        <f t="shared" si="0"/>
        <v>5.3594838918708129E-2</v>
      </c>
      <c r="G86" s="108">
        <f t="shared" si="8"/>
        <v>0</v>
      </c>
      <c r="H86" s="775"/>
      <c r="I86" s="49">
        <f t="shared" si="3"/>
        <v>9.5297692615814805E-2</v>
      </c>
      <c r="J86" s="108">
        <f t="shared" si="4"/>
        <v>0</v>
      </c>
      <c r="K86" s="775"/>
      <c r="L86" s="108">
        <f t="shared" si="5"/>
        <v>0</v>
      </c>
      <c r="M86" s="775"/>
      <c r="N86" s="108">
        <f>+'2-Incentive ROE'!K$40*'1-Project Rev Req'!M86/100</f>
        <v>0</v>
      </c>
      <c r="O86" s="108">
        <f t="shared" si="9"/>
        <v>0</v>
      </c>
      <c r="P86" s="775"/>
      <c r="Q86" s="371">
        <f t="shared" si="2"/>
        <v>0</v>
      </c>
      <c r="R86" s="774"/>
      <c r="S86" s="371">
        <f t="shared" si="7"/>
        <v>0</v>
      </c>
    </row>
    <row r="87" spans="1:19">
      <c r="A87" s="110"/>
      <c r="C87" s="44"/>
      <c r="D87" s="44"/>
      <c r="E87" s="774"/>
      <c r="F87" s="49">
        <f t="shared" si="0"/>
        <v>5.3594838918708129E-2</v>
      </c>
      <c r="G87" s="108">
        <f t="shared" si="8"/>
        <v>0</v>
      </c>
      <c r="H87" s="107"/>
      <c r="I87" s="49">
        <f t="shared" si="3"/>
        <v>9.5297692615814805E-2</v>
      </c>
      <c r="J87" s="108">
        <f t="shared" si="4"/>
        <v>0</v>
      </c>
      <c r="K87" s="107"/>
      <c r="L87" s="108">
        <f t="shared" si="5"/>
        <v>0</v>
      </c>
      <c r="M87" s="107"/>
      <c r="N87" s="108">
        <f>+'2-Incentive ROE'!K$40*'1-Project Rev Req'!M87/100</f>
        <v>0</v>
      </c>
      <c r="O87" s="108">
        <f t="shared" si="9"/>
        <v>0</v>
      </c>
      <c r="P87" s="107"/>
      <c r="Q87" s="371">
        <f t="shared" si="2"/>
        <v>0</v>
      </c>
      <c r="R87" s="774"/>
      <c r="S87" s="371">
        <f t="shared" si="7"/>
        <v>0</v>
      </c>
    </row>
    <row r="88" spans="1:19">
      <c r="A88" s="110"/>
      <c r="C88" s="44"/>
      <c r="D88" s="44"/>
      <c r="E88" s="774"/>
      <c r="F88" s="49">
        <f t="shared" si="0"/>
        <v>5.3594838918708129E-2</v>
      </c>
      <c r="G88" s="108">
        <f t="shared" si="8"/>
        <v>0</v>
      </c>
      <c r="H88" s="107"/>
      <c r="I88" s="49">
        <f t="shared" si="3"/>
        <v>9.5297692615814805E-2</v>
      </c>
      <c r="J88" s="108">
        <f t="shared" si="4"/>
        <v>0</v>
      </c>
      <c r="K88" s="107"/>
      <c r="L88" s="108">
        <f t="shared" si="5"/>
        <v>0</v>
      </c>
      <c r="M88" s="420"/>
      <c r="N88" s="108">
        <f>+'2-Incentive ROE'!K$40*'1-Project Rev Req'!M88/100</f>
        <v>0</v>
      </c>
      <c r="O88" s="108">
        <f t="shared" si="9"/>
        <v>0</v>
      </c>
      <c r="P88" s="420"/>
      <c r="Q88" s="371">
        <f t="shared" si="2"/>
        <v>0</v>
      </c>
      <c r="R88" s="774"/>
      <c r="S88" s="371">
        <f t="shared" si="7"/>
        <v>0</v>
      </c>
    </row>
    <row r="89" spans="1:19">
      <c r="A89" s="111"/>
      <c r="B89" s="45"/>
      <c r="C89" s="45"/>
      <c r="D89" s="45"/>
      <c r="E89" s="45"/>
      <c r="F89" s="45"/>
      <c r="G89" s="46"/>
      <c r="H89" s="45"/>
      <c r="I89" s="45"/>
      <c r="J89" s="46"/>
      <c r="K89" s="45"/>
      <c r="L89" s="47"/>
      <c r="M89" s="421"/>
      <c r="N89" s="233"/>
      <c r="O89" s="233"/>
      <c r="P89" s="234"/>
      <c r="Q89" s="233"/>
      <c r="R89" s="45"/>
      <c r="S89" s="372">
        <f t="shared" si="7"/>
        <v>0</v>
      </c>
    </row>
    <row r="90" spans="1:19">
      <c r="A90" s="58" t="s">
        <v>265</v>
      </c>
      <c r="B90" s="81"/>
      <c r="C90" s="25" t="s">
        <v>251</v>
      </c>
      <c r="D90" s="25"/>
      <c r="E90" s="112">
        <f>SUM(E78,E82)</f>
        <v>18189760.9700104</v>
      </c>
      <c r="F90" s="51"/>
      <c r="G90" s="112">
        <f>SUM(G78,G82)</f>
        <v>974877.30915751145</v>
      </c>
      <c r="H90" s="112">
        <f>SUM(H78,H82)</f>
        <v>15500851.32154708</v>
      </c>
      <c r="I90" s="22"/>
      <c r="J90" s="112">
        <f t="shared" ref="J90:S90" si="10">SUM(J66:J88)</f>
        <v>1477195.3645242404</v>
      </c>
      <c r="K90" s="112">
        <f t="shared" si="10"/>
        <v>397042.23811293131</v>
      </c>
      <c r="L90" s="112">
        <f t="shared" si="10"/>
        <v>2849114.9117946834</v>
      </c>
      <c r="M90" s="112">
        <f t="shared" si="10"/>
        <v>0</v>
      </c>
      <c r="N90" s="112">
        <f t="shared" si="10"/>
        <v>0</v>
      </c>
      <c r="O90" s="112">
        <f t="shared" si="10"/>
        <v>2849114.9117946834</v>
      </c>
      <c r="P90" s="112">
        <f t="shared" si="10"/>
        <v>0</v>
      </c>
      <c r="Q90" s="112">
        <f t="shared" si="10"/>
        <v>2849114.9117946834</v>
      </c>
      <c r="R90" s="112">
        <f t="shared" si="10"/>
        <v>-498463.99192471837</v>
      </c>
      <c r="S90" s="112">
        <f t="shared" si="10"/>
        <v>2350650.9198699649</v>
      </c>
    </row>
    <row r="91" spans="1:19">
      <c r="E91" s="864"/>
      <c r="F91" s="48"/>
      <c r="G91" s="48"/>
      <c r="H91" s="48"/>
      <c r="I91" s="48"/>
      <c r="J91" s="48"/>
      <c r="K91" s="48"/>
      <c r="L91" s="49"/>
    </row>
    <row r="92" spans="1:19">
      <c r="A92" s="113"/>
      <c r="E92" s="48"/>
      <c r="F92" s="48"/>
      <c r="G92" s="48"/>
      <c r="H92" s="49"/>
      <c r="I92" s="48"/>
      <c r="J92" s="48"/>
      <c r="K92" s="48"/>
      <c r="L92" s="49"/>
      <c r="M92" s="85"/>
      <c r="N92" s="85"/>
      <c r="O92" s="85"/>
    </row>
    <row r="93" spans="1:19">
      <c r="K93" s="50"/>
      <c r="L93" s="50"/>
      <c r="M93" s="50"/>
      <c r="N93" s="50"/>
      <c r="O93" s="50"/>
    </row>
    <row r="94" spans="1:19">
      <c r="K94" s="50"/>
      <c r="L94" s="50"/>
      <c r="M94" s="50"/>
      <c r="N94" s="50"/>
      <c r="O94" s="50"/>
    </row>
    <row r="95" spans="1:19">
      <c r="A95" s="24" t="s">
        <v>73</v>
      </c>
    </row>
    <row r="96" spans="1:19" ht="13.5" thickBot="1">
      <c r="A96" s="114" t="s">
        <v>74</v>
      </c>
    </row>
    <row r="97" spans="1:17">
      <c r="A97" s="115" t="s">
        <v>75</v>
      </c>
      <c r="C97" s="966" t="s">
        <v>719</v>
      </c>
      <c r="D97" s="966"/>
      <c r="E97" s="966"/>
      <c r="F97" s="966"/>
      <c r="G97" s="966"/>
      <c r="H97" s="966"/>
      <c r="I97" s="966"/>
      <c r="J97" s="966"/>
      <c r="K97" s="966"/>
      <c r="L97" s="966"/>
      <c r="M97" s="966"/>
      <c r="N97" s="966"/>
      <c r="O97" s="966"/>
      <c r="P97" s="966"/>
      <c r="Q97" s="966"/>
    </row>
    <row r="98" spans="1:17">
      <c r="A98" s="115" t="s">
        <v>76</v>
      </c>
      <c r="C98" s="966" t="s">
        <v>672</v>
      </c>
      <c r="D98" s="966"/>
      <c r="E98" s="966"/>
      <c r="F98" s="966"/>
      <c r="G98" s="966"/>
      <c r="H98" s="966"/>
      <c r="I98" s="966"/>
      <c r="J98" s="966"/>
      <c r="K98" s="966"/>
      <c r="L98" s="966"/>
      <c r="M98" s="966"/>
      <c r="N98" s="966"/>
      <c r="O98" s="966"/>
      <c r="P98" s="966"/>
      <c r="Q98" s="966"/>
    </row>
    <row r="99" spans="1:17">
      <c r="A99" s="115" t="s">
        <v>77</v>
      </c>
      <c r="C99" s="967" t="s">
        <v>692</v>
      </c>
      <c r="D99" s="967"/>
      <c r="E99" s="967"/>
      <c r="F99" s="967"/>
      <c r="G99" s="967"/>
      <c r="H99" s="967"/>
      <c r="I99" s="967"/>
      <c r="J99" s="967"/>
      <c r="K99" s="967"/>
      <c r="L99" s="967"/>
      <c r="M99" s="967"/>
      <c r="N99" s="967"/>
      <c r="O99" s="967"/>
      <c r="P99" s="967"/>
      <c r="Q99" s="967"/>
    </row>
    <row r="100" spans="1:17">
      <c r="C100" s="24" t="s">
        <v>675</v>
      </c>
    </row>
    <row r="101" spans="1:17">
      <c r="A101" s="115" t="s">
        <v>78</v>
      </c>
      <c r="C101" s="967" t="s">
        <v>864</v>
      </c>
      <c r="D101" s="967"/>
      <c r="E101" s="967"/>
      <c r="F101" s="967"/>
      <c r="G101" s="967"/>
      <c r="H101" s="967"/>
      <c r="I101" s="967"/>
      <c r="J101" s="967"/>
      <c r="K101" s="967"/>
      <c r="L101" s="967"/>
      <c r="M101" s="967"/>
      <c r="N101" s="967"/>
      <c r="O101" s="967"/>
      <c r="P101" s="967"/>
      <c r="Q101" s="967"/>
    </row>
    <row r="102" spans="1:17">
      <c r="A102" s="51" t="s">
        <v>79</v>
      </c>
      <c r="C102" s="965" t="s">
        <v>674</v>
      </c>
      <c r="D102" s="965"/>
      <c r="E102" s="965"/>
      <c r="F102" s="965"/>
      <c r="G102" s="965"/>
      <c r="H102" s="965"/>
      <c r="I102" s="965"/>
      <c r="J102" s="965"/>
      <c r="K102" s="965"/>
      <c r="L102" s="965"/>
      <c r="M102" s="965"/>
      <c r="N102" s="965"/>
      <c r="O102" s="965"/>
      <c r="P102" s="965"/>
      <c r="Q102" s="965"/>
    </row>
    <row r="103" spans="1:17">
      <c r="A103" s="51" t="s">
        <v>80</v>
      </c>
      <c r="C103" s="965" t="s">
        <v>889</v>
      </c>
      <c r="D103" s="965"/>
      <c r="E103" s="965"/>
      <c r="F103" s="965"/>
      <c r="G103" s="965"/>
      <c r="H103" s="965"/>
      <c r="I103" s="965"/>
      <c r="J103" s="965"/>
      <c r="K103" s="965"/>
      <c r="L103" s="965"/>
      <c r="M103" s="965"/>
      <c r="N103" s="965"/>
      <c r="O103" s="965"/>
      <c r="P103" s="965"/>
      <c r="Q103" s="965"/>
    </row>
    <row r="104" spans="1:17">
      <c r="A104" s="51" t="s">
        <v>81</v>
      </c>
      <c r="C104" s="965" t="s">
        <v>720</v>
      </c>
      <c r="D104" s="965"/>
      <c r="E104" s="965"/>
      <c r="F104" s="965"/>
      <c r="G104" s="965"/>
      <c r="H104" s="965"/>
      <c r="I104" s="965"/>
      <c r="J104" s="965"/>
      <c r="K104" s="965"/>
      <c r="L104" s="965"/>
      <c r="M104" s="965"/>
      <c r="N104" s="965"/>
      <c r="O104" s="965"/>
      <c r="P104" s="965"/>
      <c r="Q104" s="965"/>
    </row>
    <row r="105" spans="1:17">
      <c r="A105" s="51" t="s">
        <v>83</v>
      </c>
      <c r="C105" s="965" t="s">
        <v>721</v>
      </c>
      <c r="D105" s="965"/>
      <c r="E105" s="965"/>
      <c r="F105" s="965"/>
      <c r="G105" s="965"/>
      <c r="H105" s="965"/>
      <c r="I105" s="965"/>
      <c r="J105" s="965"/>
      <c r="K105" s="965"/>
      <c r="L105" s="965"/>
      <c r="M105" s="965"/>
      <c r="N105" s="965"/>
      <c r="O105" s="965"/>
      <c r="P105" s="965"/>
      <c r="Q105" s="965"/>
    </row>
    <row r="106" spans="1:17">
      <c r="A106" s="51" t="s">
        <v>84</v>
      </c>
      <c r="C106" s="24" t="s">
        <v>571</v>
      </c>
    </row>
    <row r="107" spans="1:17">
      <c r="A107" s="58" t="s">
        <v>85</v>
      </c>
      <c r="C107" s="87" t="s">
        <v>722</v>
      </c>
      <c r="D107" s="58"/>
      <c r="E107" s="51"/>
      <c r="F107" s="51"/>
      <c r="G107" s="22"/>
      <c r="J107" s="72"/>
      <c r="P107" s="22"/>
      <c r="Q107" s="53"/>
    </row>
    <row r="108" spans="1:17">
      <c r="A108" s="58" t="s">
        <v>162</v>
      </c>
      <c r="C108" s="24" t="s">
        <v>563</v>
      </c>
      <c r="D108" s="58"/>
      <c r="E108" s="51"/>
      <c r="F108" s="51"/>
      <c r="G108" s="22"/>
      <c r="J108" s="72"/>
      <c r="P108" s="22"/>
      <c r="Q108" s="69"/>
    </row>
    <row r="109" spans="1:17">
      <c r="A109" s="51" t="s">
        <v>200</v>
      </c>
      <c r="C109" s="15" t="s">
        <v>581</v>
      </c>
    </row>
    <row r="110" spans="1:17">
      <c r="A110" s="51" t="s">
        <v>784</v>
      </c>
      <c r="C110" s="24" t="s">
        <v>785</v>
      </c>
    </row>
    <row r="111" spans="1:17">
      <c r="A111" s="51" t="s">
        <v>203</v>
      </c>
      <c r="C111" s="24" t="s">
        <v>867</v>
      </c>
    </row>
    <row r="112" spans="1:17">
      <c r="C112" s="24" t="s">
        <v>849</v>
      </c>
    </row>
    <row r="113" spans="3:7" ht="15.5">
      <c r="C113" s="964"/>
      <c r="D113" s="964"/>
      <c r="E113" s="964"/>
      <c r="F113" s="964"/>
      <c r="G113" s="964"/>
    </row>
  </sheetData>
  <customSheetViews>
    <customSheetView guid="{F04A2B9A-C6FE-4FEB-AD1E-2CF9AC309BE4}" scale="50" showPageBreaks="1" printArea="1" view="pageBreakPreview">
      <selection activeCell="G20" sqref="G20"/>
      <rowBreaks count="1" manualBreakCount="1">
        <brk id="50" max="13" man="1"/>
      </rowBreaks>
      <pageMargins left="0.56999999999999995" right="0.3" top="0.77" bottom="0.75" header="0.5" footer="0.5"/>
      <printOptions horizontalCentered="1"/>
      <pageSetup scale="43" fitToHeight="0" orientation="landscape" verticalDpi="300" r:id="rId1"/>
      <headerFooter alignWithMargins="0"/>
    </customSheetView>
  </customSheetViews>
  <mergeCells count="9">
    <mergeCell ref="C113:G113"/>
    <mergeCell ref="C104:Q104"/>
    <mergeCell ref="C105:Q105"/>
    <mergeCell ref="C97:Q97"/>
    <mergeCell ref="C98:Q98"/>
    <mergeCell ref="C99:Q99"/>
    <mergeCell ref="C101:Q101"/>
    <mergeCell ref="C102:Q102"/>
    <mergeCell ref="C103:Q103"/>
  </mergeCells>
  <phoneticPr fontId="0" type="noConversion"/>
  <pageMargins left="0.25" right="0.25" top="0.75" bottom="0.75" header="0.3" footer="0.3"/>
  <pageSetup scale="42" fitToHeight="0" orientation="landscape" r:id="rId2"/>
  <rowBreaks count="1" manualBreakCount="1">
    <brk id="50" max="16383" man="1"/>
  </rowBreaks>
  <customProperties>
    <customPr name="_pios_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K69"/>
  <sheetViews>
    <sheetView workbookViewId="0"/>
  </sheetViews>
  <sheetFormatPr defaultRowHeight="15.5"/>
  <cols>
    <col min="1" max="1" width="5.53515625" style="311" customWidth="1"/>
    <col min="2" max="2" width="21.53515625" style="318" customWidth="1"/>
    <col min="3" max="3" width="30.53515625" style="318" customWidth="1"/>
    <col min="4" max="4" width="25.23046875" style="318" customWidth="1"/>
    <col min="5" max="5" width="13.3046875" style="318" bestFit="1" customWidth="1"/>
    <col min="6" max="6" width="6.53515625" style="318" customWidth="1"/>
    <col min="7" max="7" width="9" style="318" bestFit="1" customWidth="1"/>
    <col min="8" max="8" width="7.07421875" style="318" bestFit="1" customWidth="1"/>
    <col min="9" max="9" width="12.3046875" style="318" customWidth="1"/>
    <col min="10" max="10" width="24.07421875" style="324" bestFit="1" customWidth="1"/>
    <col min="11" max="11" width="16.53515625" customWidth="1"/>
  </cols>
  <sheetData>
    <row r="1" spans="1:11">
      <c r="C1" s="312"/>
      <c r="D1" s="312"/>
      <c r="E1" s="312"/>
      <c r="F1" s="313"/>
      <c r="G1" s="312"/>
      <c r="H1" s="312"/>
      <c r="I1" s="312"/>
      <c r="J1" s="410"/>
    </row>
    <row r="2" spans="1:11">
      <c r="B2" s="311"/>
      <c r="C2" s="312"/>
      <c r="D2" s="312"/>
      <c r="E2" s="312"/>
      <c r="F2" s="313"/>
      <c r="G2" s="312"/>
      <c r="H2" s="312"/>
      <c r="I2" s="312"/>
      <c r="J2" s="410"/>
    </row>
    <row r="3" spans="1:11">
      <c r="C3" s="312"/>
      <c r="D3" s="314" t="s">
        <v>10</v>
      </c>
      <c r="E3" s="314"/>
      <c r="F3" s="313" t="s">
        <v>401</v>
      </c>
      <c r="H3" s="314"/>
      <c r="I3" s="314"/>
      <c r="J3" s="312"/>
      <c r="K3" s="658" t="s">
        <v>891</v>
      </c>
    </row>
    <row r="4" spans="1:11">
      <c r="B4" s="316"/>
      <c r="C4" s="316"/>
      <c r="D4" s="316"/>
      <c r="E4" s="316"/>
      <c r="F4" s="369" t="s">
        <v>573</v>
      </c>
      <c r="H4" s="316"/>
      <c r="I4" s="316"/>
      <c r="J4" s="316"/>
      <c r="K4" s="315"/>
    </row>
    <row r="5" spans="1:11">
      <c r="B5" s="316"/>
      <c r="C5" s="316"/>
      <c r="D5" s="316"/>
      <c r="F5" s="317" t="str">
        <f>+'Attachment H'!D5</f>
        <v>Gridliance High Plains LLC</v>
      </c>
      <c r="H5" s="316"/>
      <c r="I5" s="316"/>
      <c r="J5" s="316"/>
      <c r="K5" s="316"/>
    </row>
    <row r="7" spans="1:11">
      <c r="A7" s="311">
        <v>1</v>
      </c>
      <c r="B7" s="318" t="s">
        <v>557</v>
      </c>
      <c r="C7" s="318" t="s">
        <v>725</v>
      </c>
      <c r="J7" s="318"/>
      <c r="K7" s="359">
        <f>+'Attachment H'!I106</f>
        <v>13991417.888283161</v>
      </c>
    </row>
    <row r="8" spans="1:11">
      <c r="J8" s="318"/>
      <c r="K8" s="324"/>
    </row>
    <row r="9" spans="1:11" ht="16" thickBot="1">
      <c r="A9" s="320">
        <f>+A7+1</f>
        <v>2</v>
      </c>
      <c r="B9" s="321" t="s">
        <v>402</v>
      </c>
      <c r="C9" s="322"/>
      <c r="D9" s="322"/>
      <c r="E9" s="322"/>
      <c r="F9" s="322"/>
      <c r="G9" s="322"/>
      <c r="H9" s="322"/>
      <c r="I9" s="322"/>
      <c r="J9" s="323" t="s">
        <v>58</v>
      </c>
      <c r="K9" s="324"/>
    </row>
    <row r="10" spans="1:11">
      <c r="A10" s="320"/>
      <c r="B10" s="325"/>
      <c r="C10" s="322"/>
      <c r="D10" s="322"/>
      <c r="E10" s="322"/>
      <c r="F10" s="322"/>
      <c r="G10" s="322"/>
      <c r="H10" s="326" t="s">
        <v>67</v>
      </c>
      <c r="I10" s="322"/>
      <c r="J10" s="322"/>
      <c r="K10" s="324"/>
    </row>
    <row r="11" spans="1:11" ht="16" thickBot="1">
      <c r="A11" s="320"/>
      <c r="B11" s="325"/>
      <c r="C11" s="322"/>
      <c r="D11" s="322"/>
      <c r="E11" s="327" t="s">
        <v>58</v>
      </c>
      <c r="F11" s="327" t="s">
        <v>68</v>
      </c>
      <c r="G11" s="322"/>
      <c r="H11" s="327"/>
      <c r="I11" s="322"/>
      <c r="J11" s="327" t="s">
        <v>69</v>
      </c>
      <c r="K11" s="324"/>
    </row>
    <row r="12" spans="1:11">
      <c r="A12" s="320">
        <f>+A9+1</f>
        <v>3</v>
      </c>
      <c r="B12" s="321" t="s">
        <v>358</v>
      </c>
      <c r="C12" s="328" t="s">
        <v>726</v>
      </c>
      <c r="D12" s="328"/>
      <c r="E12" s="777">
        <f>'Attachment H'!D210</f>
        <v>24340687.305207092</v>
      </c>
      <c r="F12" s="424">
        <f>'Attachment H'!E210</f>
        <v>0.4</v>
      </c>
      <c r="G12" s="319"/>
      <c r="H12" s="874">
        <f>'Attachment H'!G210</f>
        <v>0.06</v>
      </c>
      <c r="I12" s="319"/>
      <c r="J12" s="319">
        <f>F12*H12</f>
        <v>2.4E-2</v>
      </c>
      <c r="K12" s="324"/>
    </row>
    <row r="13" spans="1:11">
      <c r="A13" s="320">
        <f>+A12+1</f>
        <v>4</v>
      </c>
      <c r="B13" s="321" t="s">
        <v>558</v>
      </c>
      <c r="C13" s="328" t="s">
        <v>726</v>
      </c>
      <c r="D13" s="328"/>
      <c r="E13" s="329">
        <f>'Attachment H'!D211</f>
        <v>0</v>
      </c>
      <c r="F13" s="424">
        <v>0</v>
      </c>
      <c r="G13" s="319"/>
      <c r="H13" s="319">
        <v>0</v>
      </c>
      <c r="I13" s="319"/>
      <c r="J13" s="319">
        <f>F13*H13</f>
        <v>0</v>
      </c>
      <c r="K13" s="324"/>
    </row>
    <row r="14" spans="1:11" ht="31.5" thickBot="1">
      <c r="A14" s="320">
        <f>+A13+1</f>
        <v>5</v>
      </c>
      <c r="B14" s="321" t="s">
        <v>466</v>
      </c>
      <c r="C14" s="328" t="s">
        <v>727</v>
      </c>
      <c r="D14" s="407" t="s">
        <v>728</v>
      </c>
      <c r="E14" s="778">
        <f>'Attachment H'!D212</f>
        <v>76476833.491334647</v>
      </c>
      <c r="F14" s="424">
        <f>'Attachment H'!E212</f>
        <v>0.6</v>
      </c>
      <c r="G14" s="319"/>
      <c r="H14" s="434">
        <v>0.113</v>
      </c>
      <c r="I14" s="319"/>
      <c r="J14" s="637">
        <f>F14*H14</f>
        <v>6.7799999999999999E-2</v>
      </c>
      <c r="K14" s="324"/>
    </row>
    <row r="15" spans="1:11">
      <c r="A15" s="320">
        <f>+A14+1</f>
        <v>6</v>
      </c>
      <c r="B15" s="325" t="s">
        <v>729</v>
      </c>
      <c r="C15" s="328"/>
      <c r="D15" s="328"/>
      <c r="E15" s="865">
        <f>SUM(E12:E14)</f>
        <v>100817520.79654174</v>
      </c>
      <c r="F15" s="319" t="s">
        <v>10</v>
      </c>
      <c r="G15" s="319"/>
      <c r="H15" s="319"/>
      <c r="I15" s="319"/>
      <c r="J15" s="319">
        <f>SUM(J12:J14)</f>
        <v>9.1799999999999993E-2</v>
      </c>
      <c r="K15" s="324"/>
    </row>
    <row r="16" spans="1:11">
      <c r="A16" s="320">
        <f t="shared" ref="A16:A40" si="0">+A15+1</f>
        <v>7</v>
      </c>
      <c r="B16" s="325" t="s">
        <v>408</v>
      </c>
      <c r="C16" s="328"/>
      <c r="D16" s="328"/>
      <c r="E16" s="330"/>
      <c r="F16" s="322"/>
      <c r="G16" s="322"/>
      <c r="H16" s="322"/>
      <c r="I16" s="322"/>
      <c r="J16" s="319"/>
      <c r="K16" s="319">
        <f>+J15*K7</f>
        <v>1284412.1621443941</v>
      </c>
    </row>
    <row r="17" spans="1:11">
      <c r="A17" s="320"/>
      <c r="J17" s="318"/>
      <c r="K17" s="324"/>
    </row>
    <row r="18" spans="1:11">
      <c r="A18" s="320">
        <f>+A16+1</f>
        <v>8</v>
      </c>
      <c r="B18" s="325" t="s">
        <v>50</v>
      </c>
      <c r="C18" s="322"/>
      <c r="D18" s="322"/>
      <c r="E18" s="322"/>
      <c r="F18" s="322"/>
      <c r="G18" s="328"/>
      <c r="H18" s="331"/>
      <c r="I18" s="322"/>
      <c r="J18" s="328"/>
      <c r="K18" s="324"/>
    </row>
    <row r="19" spans="1:11">
      <c r="A19" s="320">
        <f t="shared" si="0"/>
        <v>9</v>
      </c>
      <c r="B19" s="332" t="s">
        <v>562</v>
      </c>
      <c r="C19" s="322"/>
      <c r="D19" s="28"/>
      <c r="E19" s="373">
        <f>IF('Attachment H'!D259&gt;0,1-(((1-'Attachment H'!D260)*(1-'Attachment H'!D259))/(1-'Attachment H'!D259*'Attachment H'!D260*'Attachment H'!D261)),0)</f>
        <v>0.24160000000000004</v>
      </c>
      <c r="F19" s="373"/>
      <c r="G19" s="328"/>
      <c r="H19" s="331"/>
      <c r="I19" s="867">
        <f>+E12/E15</f>
        <v>0.24143310719104721</v>
      </c>
      <c r="J19" s="328"/>
      <c r="K19" s="324"/>
    </row>
    <row r="20" spans="1:11">
      <c r="A20" s="320">
        <f t="shared" si="0"/>
        <v>10</v>
      </c>
      <c r="B20" s="328" t="s">
        <v>51</v>
      </c>
      <c r="C20" s="322"/>
      <c r="D20" s="28"/>
      <c r="E20" s="373">
        <f>IF(J15&gt;0,(E19/(1-E19))*(1-J12/J15),0)</f>
        <v>0.23528032872783436</v>
      </c>
      <c r="F20" s="322"/>
      <c r="G20" s="328"/>
      <c r="H20" s="331"/>
      <c r="I20" s="867">
        <f>+E14/E15</f>
        <v>0.75856689280895284</v>
      </c>
      <c r="J20" s="328"/>
      <c r="K20" s="324"/>
    </row>
    <row r="21" spans="1:11">
      <c r="A21" s="320">
        <f t="shared" si="0"/>
        <v>11</v>
      </c>
      <c r="B21" s="322" t="s">
        <v>559</v>
      </c>
      <c r="C21" s="322"/>
      <c r="D21" s="28"/>
      <c r="E21" s="322"/>
      <c r="F21" s="322"/>
      <c r="G21" s="328"/>
      <c r="H21" s="331"/>
      <c r="I21" s="322"/>
      <c r="J21" s="328"/>
      <c r="K21" s="324"/>
    </row>
    <row r="22" spans="1:11">
      <c r="A22" s="320">
        <f t="shared" si="0"/>
        <v>12</v>
      </c>
      <c r="B22" s="325" t="s">
        <v>987</v>
      </c>
      <c r="C22" s="322"/>
      <c r="D22" s="322"/>
      <c r="E22" s="322"/>
      <c r="F22" s="322"/>
      <c r="G22" s="328"/>
      <c r="H22" s="331"/>
      <c r="I22" s="322"/>
      <c r="J22" s="328"/>
      <c r="K22" s="324"/>
    </row>
    <row r="23" spans="1:11">
      <c r="A23" s="320">
        <f t="shared" si="0"/>
        <v>13</v>
      </c>
      <c r="B23" s="332" t="str">
        <f>"      1 / (1 - T)  =  (from line "&amp;A19&amp;")"</f>
        <v xml:space="preserve">      1 / (1 - T)  =  (from line 9)</v>
      </c>
      <c r="C23" s="322"/>
      <c r="D23" s="322"/>
      <c r="E23" s="373">
        <f>IF(E19&gt;0,1/(1-E19),0)</f>
        <v>1.3185654008438819</v>
      </c>
      <c r="F23" s="322"/>
      <c r="G23" s="328"/>
      <c r="H23" s="331"/>
      <c r="I23" s="322"/>
      <c r="J23" s="328"/>
      <c r="K23" s="324"/>
    </row>
    <row r="24" spans="1:11">
      <c r="A24" s="320">
        <f t="shared" si="0"/>
        <v>14</v>
      </c>
      <c r="B24" s="325" t="s">
        <v>403</v>
      </c>
      <c r="C24" s="322"/>
      <c r="D24" s="322" t="s">
        <v>684</v>
      </c>
      <c r="E24" s="333">
        <f>+'Attachment H'!D160</f>
        <v>0</v>
      </c>
      <c r="F24" s="322"/>
      <c r="G24" s="328"/>
      <c r="H24" s="331"/>
      <c r="I24" s="322"/>
      <c r="J24" s="328"/>
      <c r="K24" s="324"/>
    </row>
    <row r="25" spans="1:11">
      <c r="A25" s="320">
        <f t="shared" si="0"/>
        <v>15</v>
      </c>
      <c r="B25" s="325" t="s">
        <v>988</v>
      </c>
      <c r="C25" s="322"/>
      <c r="D25" s="322" t="s">
        <v>685</v>
      </c>
      <c r="E25" s="333">
        <f>+'Attachment H'!D161</f>
        <v>-406.68736057855239</v>
      </c>
      <c r="F25" s="322"/>
      <c r="G25" s="328"/>
      <c r="H25" s="334"/>
      <c r="I25" s="322"/>
      <c r="J25" s="328"/>
      <c r="K25" s="324"/>
    </row>
    <row r="26" spans="1:11">
      <c r="A26" s="320">
        <f t="shared" si="0"/>
        <v>16</v>
      </c>
      <c r="B26" s="325" t="s">
        <v>560</v>
      </c>
      <c r="C26" s="322"/>
      <c r="D26" s="322" t="s">
        <v>686</v>
      </c>
      <c r="E26" s="333">
        <f>+'Attachment H'!D162</f>
        <v>1375.8344856217429</v>
      </c>
      <c r="F26" s="322"/>
      <c r="G26" s="328"/>
      <c r="H26" s="331"/>
      <c r="I26" s="322"/>
      <c r="J26" s="328"/>
      <c r="K26" s="324"/>
    </row>
    <row r="27" spans="1:11">
      <c r="A27" s="320">
        <f t="shared" si="0"/>
        <v>17</v>
      </c>
      <c r="B27" s="332" t="s">
        <v>1123</v>
      </c>
      <c r="C27" s="335"/>
      <c r="D27" s="318" t="s">
        <v>1122</v>
      </c>
      <c r="E27" s="333">
        <f>+'Attachment H'!D163</f>
        <v>275453.82584363036</v>
      </c>
      <c r="F27" s="336"/>
      <c r="G27" s="336" t="s">
        <v>30</v>
      </c>
      <c r="H27" s="337"/>
      <c r="I27" s="336"/>
      <c r="J27" s="366">
        <f>E27</f>
        <v>275453.82584363036</v>
      </c>
      <c r="K27" s="324"/>
    </row>
    <row r="28" spans="1:11">
      <c r="A28" s="320">
        <f t="shared" si="0"/>
        <v>18</v>
      </c>
      <c r="B28" s="328" t="str">
        <f>"ITC adjustment (line "&amp;A23&amp;" * line "&amp;A24&amp;")"</f>
        <v>ITC adjustment (line 13 * line 14)</v>
      </c>
      <c r="C28" s="335"/>
      <c r="D28" s="335"/>
      <c r="E28" s="366">
        <f>+E$23*E24</f>
        <v>0</v>
      </c>
      <c r="F28" s="336"/>
      <c r="G28" s="338" t="s">
        <v>36</v>
      </c>
      <c r="H28" s="319">
        <f>+'Attachment H'!G84</f>
        <v>1</v>
      </c>
      <c r="I28" s="336"/>
      <c r="J28" s="366">
        <f>+E28*H28</f>
        <v>0</v>
      </c>
      <c r="K28" s="324"/>
    </row>
    <row r="29" spans="1:11">
      <c r="A29" s="320">
        <f t="shared" si="0"/>
        <v>19</v>
      </c>
      <c r="B29" s="328" t="str">
        <f>"(Excess)/Deficient Deferred Income Tax Adjustment (line "&amp;A23&amp;" * line "&amp;A25&amp;")"</f>
        <v>(Excess)/Deficient Deferred Income Tax Adjustment (line 13 * line 15)</v>
      </c>
      <c r="C29" s="335"/>
      <c r="D29" s="335"/>
      <c r="E29" s="366">
        <f>+E$23*E25</f>
        <v>-536.24388261939919</v>
      </c>
      <c r="F29" s="336"/>
      <c r="G29" s="338" t="s">
        <v>36</v>
      </c>
      <c r="H29" s="319">
        <f>H28</f>
        <v>1</v>
      </c>
      <c r="I29" s="336"/>
      <c r="J29" s="366">
        <f>+E29*H29</f>
        <v>-536.24388261939919</v>
      </c>
      <c r="K29" s="324"/>
    </row>
    <row r="30" spans="1:11">
      <c r="A30" s="320">
        <f t="shared" si="0"/>
        <v>20</v>
      </c>
      <c r="B30" s="328" t="str">
        <f>"Permanent Differences Tax Adjustment (line "&amp;A23&amp;" * "&amp;A26&amp;")"</f>
        <v>Permanent Differences Tax Adjustment (line 13 * 16)</v>
      </c>
      <c r="C30" s="335"/>
      <c r="D30" s="335"/>
      <c r="E30" s="411">
        <f>+E$23*E26</f>
        <v>1814.1277500286694</v>
      </c>
      <c r="F30" s="336"/>
      <c r="G30" s="338" t="s">
        <v>36</v>
      </c>
      <c r="H30" s="319">
        <f>H29</f>
        <v>1</v>
      </c>
      <c r="I30" s="336"/>
      <c r="J30" s="411">
        <f>+E30*H30</f>
        <v>1814.1277500286694</v>
      </c>
      <c r="K30" s="324"/>
    </row>
    <row r="31" spans="1:11">
      <c r="A31" s="320">
        <f t="shared" si="0"/>
        <v>21</v>
      </c>
      <c r="B31" s="339" t="str">
        <f>"Total Income Taxes (sum lines "&amp;A27&amp;" - "&amp;A30&amp;")"</f>
        <v>Total Income Taxes (sum lines 17 - 20)</v>
      </c>
      <c r="C31" s="328"/>
      <c r="D31" s="328"/>
      <c r="E31" s="333">
        <f>SUM(E27:E30)</f>
        <v>276731.70971103961</v>
      </c>
      <c r="F31" s="336"/>
      <c r="G31" s="336" t="s">
        <v>10</v>
      </c>
      <c r="H31" s="337" t="s">
        <v>10</v>
      </c>
      <c r="I31" s="336"/>
      <c r="J31" s="333">
        <f>SUM(J27:J30)</f>
        <v>276731.70971103961</v>
      </c>
      <c r="K31" s="319">
        <f>+J31</f>
        <v>276731.70971103961</v>
      </c>
    </row>
    <row r="32" spans="1:11">
      <c r="A32" s="320"/>
      <c r="J32" s="318"/>
      <c r="K32" s="324"/>
    </row>
    <row r="33" spans="1:11">
      <c r="A33" s="320">
        <f>+A31+1</f>
        <v>22</v>
      </c>
      <c r="B33" s="328" t="s">
        <v>404</v>
      </c>
      <c r="J33" s="318"/>
      <c r="K33" s="319">
        <f>+K31+K16</f>
        <v>1561143.8718554338</v>
      </c>
    </row>
    <row r="34" spans="1:11">
      <c r="A34" s="320"/>
      <c r="J34" s="318"/>
      <c r="K34" s="324"/>
    </row>
    <row r="35" spans="1:11">
      <c r="A35" s="320">
        <f>+A33+1</f>
        <v>23</v>
      </c>
      <c r="B35" s="318" t="s">
        <v>583</v>
      </c>
      <c r="J35" s="318"/>
      <c r="K35" s="319">
        <f>+'Attachment H'!I170</f>
        <v>1200463.654814695</v>
      </c>
    </row>
    <row r="36" spans="1:11">
      <c r="A36" s="320">
        <f t="shared" si="0"/>
        <v>24</v>
      </c>
      <c r="B36" s="318" t="s">
        <v>584</v>
      </c>
      <c r="J36" s="318"/>
      <c r="K36" s="319">
        <f>+'Attachment H'!I167</f>
        <v>276731.70971103961</v>
      </c>
    </row>
    <row r="37" spans="1:11">
      <c r="A37" s="320">
        <f t="shared" si="0"/>
        <v>25</v>
      </c>
      <c r="B37" s="328" t="s">
        <v>405</v>
      </c>
      <c r="J37" s="318"/>
      <c r="K37" s="340">
        <f>SUM(K35:K36)</f>
        <v>1477195.3645257347</v>
      </c>
    </row>
    <row r="38" spans="1:11">
      <c r="A38" s="320">
        <f t="shared" si="0"/>
        <v>26</v>
      </c>
      <c r="B38" s="328" t="s">
        <v>406</v>
      </c>
      <c r="J38" s="318"/>
      <c r="K38" s="319">
        <f>+K33-K37</f>
        <v>83948.507329699118</v>
      </c>
    </row>
    <row r="39" spans="1:11">
      <c r="A39" s="320">
        <f t="shared" si="0"/>
        <v>27</v>
      </c>
      <c r="B39" s="318" t="s">
        <v>561</v>
      </c>
      <c r="J39" s="318"/>
      <c r="K39" s="408">
        <f>+K7</f>
        <v>13991417.888283161</v>
      </c>
    </row>
    <row r="40" spans="1:11">
      <c r="A40" s="320">
        <f t="shared" si="0"/>
        <v>28</v>
      </c>
      <c r="B40" s="318" t="s">
        <v>407</v>
      </c>
      <c r="J40" s="318"/>
      <c r="K40" s="409">
        <f>IF(K39=0,0,K38/K39)</f>
        <v>6.0000000000000105E-3</v>
      </c>
    </row>
    <row r="41" spans="1:11">
      <c r="A41" s="320"/>
      <c r="D41" s="792"/>
      <c r="J41" s="318"/>
      <c r="K41" s="324"/>
    </row>
    <row r="42" spans="1:11">
      <c r="J42" s="318"/>
      <c r="K42" s="324"/>
    </row>
    <row r="43" spans="1:11">
      <c r="A43" s="311" t="s">
        <v>481</v>
      </c>
      <c r="J43" s="318"/>
      <c r="K43" s="324"/>
    </row>
    <row r="44" spans="1:11">
      <c r="A44" s="404" t="s">
        <v>75</v>
      </c>
      <c r="B44" s="359" t="s">
        <v>480</v>
      </c>
      <c r="J44" s="318"/>
      <c r="K44" s="324"/>
    </row>
    <row r="45" spans="1:11">
      <c r="A45" s="404"/>
      <c r="B45" s="318" t="s">
        <v>731</v>
      </c>
      <c r="J45" s="318"/>
      <c r="K45" s="324"/>
    </row>
    <row r="46" spans="1:11">
      <c r="A46" s="404"/>
      <c r="B46" s="318" t="s">
        <v>483</v>
      </c>
      <c r="J46" s="318"/>
      <c r="K46" s="324"/>
    </row>
    <row r="47" spans="1:11">
      <c r="A47" s="404"/>
      <c r="B47" s="318" t="s">
        <v>730</v>
      </c>
      <c r="J47" s="318"/>
      <c r="K47" s="324"/>
    </row>
    <row r="48" spans="1:11">
      <c r="A48" s="404" t="s">
        <v>76</v>
      </c>
      <c r="B48" s="318" t="s">
        <v>482</v>
      </c>
      <c r="J48" s="318"/>
      <c r="K48" s="324"/>
    </row>
    <row r="49" spans="2:11">
      <c r="B49" s="318" t="s">
        <v>508</v>
      </c>
      <c r="J49" s="318"/>
      <c r="K49" s="324"/>
    </row>
    <row r="69" ht="24" customHeight="1"/>
  </sheetData>
  <phoneticPr fontId="0" type="noConversion"/>
  <pageMargins left="0.7" right="0.7" top="0.75" bottom="0.75" header="0.3" footer="0.3"/>
  <pageSetup scale="60" fitToHeight="0"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68"/>
  <sheetViews>
    <sheetView zoomScaleNormal="100" workbookViewId="0"/>
  </sheetViews>
  <sheetFormatPr defaultColWidth="8.84375" defaultRowHeight="13"/>
  <cols>
    <col min="1" max="1" width="6" style="24" customWidth="1"/>
    <col min="2" max="2" width="27.07421875" style="24" customWidth="1"/>
    <col min="3" max="3" width="38.765625" style="24" bestFit="1" customWidth="1"/>
    <col min="4" max="4" width="18.69140625" style="24" customWidth="1"/>
    <col min="5" max="5" width="22.23046875" style="24" customWidth="1"/>
    <col min="6" max="6" width="15.23046875" style="24" customWidth="1"/>
    <col min="7" max="7" width="18.3046875" style="24" customWidth="1"/>
    <col min="8" max="8" width="14.4609375" style="24" customWidth="1"/>
    <col min="9" max="9" width="18.53515625" style="24" customWidth="1"/>
    <col min="10" max="10" width="13.765625" style="24" customWidth="1"/>
    <col min="11" max="11" width="14.4609375" style="24" customWidth="1"/>
    <col min="12" max="12" width="13.53515625" style="24" customWidth="1"/>
    <col min="13" max="16384" width="8.84375" style="24"/>
  </cols>
  <sheetData>
    <row r="1" spans="1:13">
      <c r="J1" s="19" t="s">
        <v>891</v>
      </c>
    </row>
    <row r="5" spans="1:13">
      <c r="A5" s="525"/>
      <c r="D5" s="19"/>
      <c r="E5" s="20" t="s">
        <v>282</v>
      </c>
      <c r="F5" s="19"/>
      <c r="G5" s="19"/>
      <c r="I5" s="19"/>
      <c r="J5" s="19"/>
      <c r="K5" s="19"/>
      <c r="L5" s="19"/>
    </row>
    <row r="6" spans="1:13">
      <c r="A6" s="525"/>
      <c r="D6" s="19"/>
      <c r="E6" s="416" t="s">
        <v>488</v>
      </c>
      <c r="F6" s="22"/>
      <c r="G6" s="22"/>
      <c r="I6" s="22"/>
      <c r="J6" s="22"/>
      <c r="K6" s="22"/>
      <c r="L6" s="19"/>
    </row>
    <row r="7" spans="1:13">
      <c r="A7" s="525"/>
      <c r="C7" s="25"/>
      <c r="D7" s="25"/>
      <c r="E7" s="139" t="str">
        <f>+'2-Incentive ROE'!F5</f>
        <v>Gridliance High Plains LLC</v>
      </c>
      <c r="F7" s="25"/>
      <c r="G7" s="25"/>
      <c r="I7" s="25"/>
      <c r="J7" s="25"/>
      <c r="K7" s="25"/>
      <c r="L7" s="25"/>
    </row>
    <row r="8" spans="1:13" s="403" customFormat="1">
      <c r="A8" s="526"/>
      <c r="B8" s="24"/>
      <c r="C8" s="24"/>
      <c r="D8" s="24"/>
      <c r="E8" s="63"/>
      <c r="F8" s="63"/>
      <c r="G8" s="63"/>
      <c r="H8" s="24"/>
      <c r="I8" s="25"/>
      <c r="J8" s="25"/>
      <c r="K8" s="25"/>
      <c r="L8" s="25"/>
    </row>
    <row r="9" spans="1:13" s="403" customFormat="1">
      <c r="A9" s="527"/>
      <c r="B9" s="15"/>
      <c r="C9" s="15"/>
      <c r="D9" s="15"/>
      <c r="E9" s="15"/>
      <c r="F9" s="15"/>
      <c r="G9" s="15"/>
      <c r="H9" s="15"/>
      <c r="I9" s="15"/>
      <c r="J9" s="15"/>
      <c r="K9" s="298"/>
      <c r="L9" s="15"/>
    </row>
    <row r="10" spans="1:13" s="403" customFormat="1">
      <c r="A10" s="527"/>
      <c r="B10" s="15"/>
      <c r="C10" s="15"/>
      <c r="D10" s="968" t="s">
        <v>887</v>
      </c>
      <c r="E10" s="969"/>
      <c r="F10" s="452"/>
      <c r="G10" s="454" t="s">
        <v>627</v>
      </c>
      <c r="H10" s="452"/>
      <c r="I10" s="455"/>
      <c r="J10" s="455"/>
      <c r="K10" s="453"/>
    </row>
    <row r="11" spans="1:13" s="403" customFormat="1" ht="15.5">
      <c r="A11" s="527">
        <v>1</v>
      </c>
      <c r="B11" s="15" t="s">
        <v>886</v>
      </c>
      <c r="C11" s="15"/>
      <c r="D11" s="970" t="s">
        <v>888</v>
      </c>
      <c r="E11" s="971"/>
      <c r="F11" s="647" t="s">
        <v>732</v>
      </c>
      <c r="G11" s="456" t="s">
        <v>628</v>
      </c>
      <c r="H11" s="647" t="s">
        <v>629</v>
      </c>
      <c r="I11" s="270"/>
      <c r="J11" s="270"/>
      <c r="K11" s="630"/>
    </row>
    <row r="12" spans="1:13" s="403" customFormat="1">
      <c r="A12" s="527">
        <v>2</v>
      </c>
      <c r="B12" s="859">
        <v>2025</v>
      </c>
      <c r="C12" s="15"/>
      <c r="D12" s="458"/>
      <c r="E12" s="458"/>
      <c r="F12" s="528">
        <v>3171538.2068145601</v>
      </c>
      <c r="G12" s="459"/>
      <c r="H12" s="458"/>
      <c r="I12" s="458"/>
      <c r="J12" s="458"/>
      <c r="K12" s="452"/>
    </row>
    <row r="13" spans="1:13" s="403" customFormat="1">
      <c r="B13" s="460" t="s">
        <v>75</v>
      </c>
      <c r="C13" s="460" t="s">
        <v>76</v>
      </c>
      <c r="D13" s="456" t="s">
        <v>77</v>
      </c>
      <c r="E13" s="456" t="s">
        <v>78</v>
      </c>
      <c r="F13" s="454" t="s">
        <v>79</v>
      </c>
      <c r="G13" s="460" t="s">
        <v>80</v>
      </c>
      <c r="H13" s="461" t="s">
        <v>81</v>
      </c>
      <c r="I13" s="461" t="s">
        <v>83</v>
      </c>
      <c r="J13" s="461" t="s">
        <v>84</v>
      </c>
      <c r="K13" s="530" t="s">
        <v>85</v>
      </c>
      <c r="M13" s="298"/>
    </row>
    <row r="14" spans="1:13" s="403" customFormat="1">
      <c r="A14" s="527"/>
      <c r="B14" s="458"/>
      <c r="C14" s="454"/>
      <c r="D14" s="454"/>
      <c r="E14" s="529" t="s">
        <v>733</v>
      </c>
      <c r="F14" s="454"/>
      <c r="G14" s="454"/>
      <c r="H14" s="458"/>
      <c r="I14" s="454"/>
      <c r="J14" s="458"/>
      <c r="K14" s="458"/>
    </row>
    <row r="15" spans="1:13" s="403" customFormat="1">
      <c r="A15" s="527"/>
      <c r="B15" s="459"/>
      <c r="C15" s="461"/>
      <c r="D15" s="461" t="s">
        <v>879</v>
      </c>
      <c r="E15" s="530" t="s">
        <v>21</v>
      </c>
      <c r="F15" s="461" t="s">
        <v>632</v>
      </c>
      <c r="G15" s="461" t="s">
        <v>878</v>
      </c>
      <c r="H15" s="461" t="s">
        <v>630</v>
      </c>
      <c r="I15" s="461"/>
      <c r="J15" s="461" t="s">
        <v>502</v>
      </c>
      <c r="K15" s="461"/>
    </row>
    <row r="16" spans="1:13" s="403" customFormat="1">
      <c r="A16" s="527"/>
      <c r="B16" s="461" t="s">
        <v>642</v>
      </c>
      <c r="C16" s="461"/>
      <c r="D16" s="461" t="s">
        <v>631</v>
      </c>
      <c r="E16" s="530" t="s">
        <v>734</v>
      </c>
      <c r="F16" s="461" t="s">
        <v>637</v>
      </c>
      <c r="G16" s="461" t="s">
        <v>631</v>
      </c>
      <c r="H16" s="461" t="s">
        <v>553</v>
      </c>
      <c r="I16" s="454" t="s">
        <v>694</v>
      </c>
      <c r="J16" s="461" t="s">
        <v>633</v>
      </c>
      <c r="K16" s="461" t="s">
        <v>735</v>
      </c>
    </row>
    <row r="17" spans="1:12" s="403" customFormat="1" ht="15.5">
      <c r="A17" s="527"/>
      <c r="B17" s="456" t="s">
        <v>634</v>
      </c>
      <c r="C17" s="456" t="s">
        <v>635</v>
      </c>
      <c r="D17" s="456" t="s">
        <v>636</v>
      </c>
      <c r="E17" s="530" t="s">
        <v>628</v>
      </c>
      <c r="F17" s="532" t="s">
        <v>880</v>
      </c>
      <c r="G17" s="456" t="s">
        <v>736</v>
      </c>
      <c r="H17" s="456" t="s">
        <v>881</v>
      </c>
      <c r="I17" s="461" t="s">
        <v>737</v>
      </c>
      <c r="J17" s="456" t="s">
        <v>738</v>
      </c>
      <c r="K17" s="456" t="s">
        <v>882</v>
      </c>
    </row>
    <row r="18" spans="1:12" s="403" customFormat="1">
      <c r="A18" s="527">
        <v>3</v>
      </c>
      <c r="B18" s="459" t="s">
        <v>507</v>
      </c>
      <c r="C18" s="459"/>
      <c r="D18" s="779"/>
      <c r="E18" s="534">
        <f t="shared" ref="E18:E37" si="0">IF(D$39=0,0,D18/D$39)</f>
        <v>0</v>
      </c>
      <c r="F18" s="854">
        <f t="shared" ref="F18:F37" si="1">IF(F$12=0,0,E18*F$12)</f>
        <v>0</v>
      </c>
      <c r="G18" s="779"/>
      <c r="H18" s="537">
        <f t="shared" ref="H18:H37" si="2">+G18-F18</f>
        <v>0</v>
      </c>
      <c r="I18" s="538">
        <f t="shared" ref="I18:I38" si="3">$E$59*E18</f>
        <v>0</v>
      </c>
      <c r="J18" s="856">
        <f t="shared" ref="J18:J37" si="4">(H18+I18)*((J$41/12)*24)</f>
        <v>0</v>
      </c>
      <c r="K18" s="857">
        <f t="shared" ref="K18:K37" si="5">+H18+J18+I18</f>
        <v>0</v>
      </c>
    </row>
    <row r="19" spans="1:12" s="403" customFormat="1">
      <c r="A19" s="527"/>
      <c r="B19" s="478"/>
      <c r="C19" s="478"/>
      <c r="D19" s="780"/>
      <c r="E19" s="540">
        <f t="shared" si="0"/>
        <v>0</v>
      </c>
      <c r="F19" s="854">
        <f t="shared" si="1"/>
        <v>0</v>
      </c>
      <c r="G19" s="780"/>
      <c r="H19" s="540">
        <f t="shared" si="2"/>
        <v>0</v>
      </c>
      <c r="I19" s="542">
        <f t="shared" si="3"/>
        <v>0</v>
      </c>
      <c r="J19" s="856">
        <f t="shared" si="4"/>
        <v>0</v>
      </c>
      <c r="K19" s="857">
        <f t="shared" si="5"/>
        <v>0</v>
      </c>
    </row>
    <row r="20" spans="1:12" s="403" customFormat="1">
      <c r="A20" s="527" t="s">
        <v>739</v>
      </c>
      <c r="B20" s="781" t="s">
        <v>1109</v>
      </c>
      <c r="C20" s="105" t="s">
        <v>1099</v>
      </c>
      <c r="D20" s="780">
        <v>0</v>
      </c>
      <c r="E20" s="540">
        <f t="shared" si="0"/>
        <v>0</v>
      </c>
      <c r="F20" s="854">
        <f t="shared" si="1"/>
        <v>0</v>
      </c>
      <c r="G20" s="780">
        <v>0</v>
      </c>
      <c r="H20" s="540">
        <f t="shared" si="2"/>
        <v>0</v>
      </c>
      <c r="I20" s="780">
        <f t="shared" si="3"/>
        <v>0</v>
      </c>
      <c r="J20" s="856">
        <f t="shared" si="4"/>
        <v>0</v>
      </c>
      <c r="K20" s="857">
        <f t="shared" si="5"/>
        <v>0</v>
      </c>
    </row>
    <row r="21" spans="1:12" s="403" customFormat="1">
      <c r="A21" s="527"/>
      <c r="B21" s="781"/>
      <c r="C21" s="478"/>
      <c r="D21" s="780"/>
      <c r="E21" s="540">
        <f t="shared" si="0"/>
        <v>0</v>
      </c>
      <c r="F21" s="854">
        <f t="shared" si="1"/>
        <v>0</v>
      </c>
      <c r="G21" s="780"/>
      <c r="H21" s="540">
        <f t="shared" si="2"/>
        <v>0</v>
      </c>
      <c r="I21" s="780">
        <f t="shared" si="3"/>
        <v>0</v>
      </c>
      <c r="J21" s="856">
        <f t="shared" si="4"/>
        <v>0</v>
      </c>
      <c r="K21" s="857">
        <f t="shared" si="5"/>
        <v>0</v>
      </c>
    </row>
    <row r="22" spans="1:12" s="403" customFormat="1">
      <c r="A22" s="527" t="s">
        <v>740</v>
      </c>
      <c r="B22" s="781"/>
      <c r="C22" s="478"/>
      <c r="D22" s="780">
        <v>0</v>
      </c>
      <c r="E22" s="540">
        <f t="shared" si="0"/>
        <v>0</v>
      </c>
      <c r="F22" s="854">
        <f t="shared" si="1"/>
        <v>0</v>
      </c>
      <c r="G22" s="780">
        <v>0</v>
      </c>
      <c r="H22" s="540">
        <f t="shared" si="2"/>
        <v>0</v>
      </c>
      <c r="I22" s="780">
        <f t="shared" si="3"/>
        <v>0</v>
      </c>
      <c r="J22" s="856">
        <f t="shared" si="4"/>
        <v>0</v>
      </c>
      <c r="K22" s="857">
        <f t="shared" si="5"/>
        <v>0</v>
      </c>
    </row>
    <row r="23" spans="1:12" s="403" customFormat="1">
      <c r="A23" s="527"/>
      <c r="B23" s="782"/>
      <c r="C23" s="478"/>
      <c r="D23" s="780"/>
      <c r="E23" s="540">
        <f t="shared" si="0"/>
        <v>0</v>
      </c>
      <c r="F23" s="854">
        <f t="shared" si="1"/>
        <v>0</v>
      </c>
      <c r="G23" s="780"/>
      <c r="H23" s="540">
        <f t="shared" si="2"/>
        <v>0</v>
      </c>
      <c r="I23" s="780">
        <f t="shared" si="3"/>
        <v>0</v>
      </c>
      <c r="J23" s="856">
        <f t="shared" si="4"/>
        <v>0</v>
      </c>
      <c r="K23" s="857">
        <f t="shared" si="5"/>
        <v>0</v>
      </c>
    </row>
    <row r="24" spans="1:12" s="403" customFormat="1">
      <c r="A24" s="527" t="s">
        <v>741</v>
      </c>
      <c r="B24" s="781" t="s">
        <v>1100</v>
      </c>
      <c r="C24" s="773" t="s">
        <v>1101</v>
      </c>
      <c r="D24" s="780">
        <v>0</v>
      </c>
      <c r="E24" s="540">
        <f t="shared" si="0"/>
        <v>0</v>
      </c>
      <c r="F24" s="854">
        <f t="shared" si="1"/>
        <v>0</v>
      </c>
      <c r="G24" s="780">
        <v>0</v>
      </c>
      <c r="H24" s="540">
        <f t="shared" si="2"/>
        <v>0</v>
      </c>
      <c r="I24" s="780">
        <f t="shared" si="3"/>
        <v>0</v>
      </c>
      <c r="J24" s="856">
        <f t="shared" si="4"/>
        <v>0</v>
      </c>
      <c r="K24" s="857">
        <f t="shared" si="5"/>
        <v>0</v>
      </c>
    </row>
    <row r="25" spans="1:12">
      <c r="A25" s="527"/>
      <c r="B25" s="782"/>
      <c r="C25" s="478"/>
      <c r="D25" s="780"/>
      <c r="E25" s="540">
        <f t="shared" si="0"/>
        <v>0</v>
      </c>
      <c r="F25" s="854">
        <f t="shared" si="1"/>
        <v>0</v>
      </c>
      <c r="G25" s="780"/>
      <c r="H25" s="540">
        <f t="shared" si="2"/>
        <v>0</v>
      </c>
      <c r="I25" s="780">
        <f t="shared" si="3"/>
        <v>0</v>
      </c>
      <c r="J25" s="856">
        <f t="shared" si="4"/>
        <v>0</v>
      </c>
      <c r="K25" s="857">
        <f t="shared" si="5"/>
        <v>0</v>
      </c>
      <c r="L25" s="403"/>
    </row>
    <row r="26" spans="1:12">
      <c r="A26" s="527" t="s">
        <v>1110</v>
      </c>
      <c r="B26" s="781" t="s">
        <v>1102</v>
      </c>
      <c r="C26" s="773" t="s">
        <v>1135</v>
      </c>
      <c r="D26" s="780">
        <v>2595450.8057684926</v>
      </c>
      <c r="E26" s="540">
        <f t="shared" si="0"/>
        <v>0.83222174499473334</v>
      </c>
      <c r="F26" s="854">
        <f t="shared" si="1"/>
        <v>2639423.0607926808</v>
      </c>
      <c r="G26" s="780">
        <v>2272778.3069326789</v>
      </c>
      <c r="H26" s="879">
        <f t="shared" si="2"/>
        <v>-366644.75386000192</v>
      </c>
      <c r="I26" s="780">
        <f t="shared" si="3"/>
        <v>6618.4678755235236</v>
      </c>
      <c r="J26" s="856">
        <f t="shared" si="4"/>
        <v>-54806.287192151445</v>
      </c>
      <c r="K26" s="857">
        <f t="shared" si="5"/>
        <v>-414832.57317662978</v>
      </c>
      <c r="L26" s="403"/>
    </row>
    <row r="27" spans="1:12">
      <c r="A27" s="527"/>
      <c r="B27" s="782"/>
      <c r="C27" s="478"/>
      <c r="D27" s="780"/>
      <c r="E27" s="540">
        <f t="shared" si="0"/>
        <v>0</v>
      </c>
      <c r="F27" s="854">
        <f t="shared" si="1"/>
        <v>0</v>
      </c>
      <c r="G27" s="780"/>
      <c r="H27" s="540">
        <f t="shared" si="2"/>
        <v>0</v>
      </c>
      <c r="I27" s="542">
        <f t="shared" si="3"/>
        <v>0</v>
      </c>
      <c r="J27" s="856">
        <f t="shared" si="4"/>
        <v>0</v>
      </c>
      <c r="K27" s="857">
        <f t="shared" si="5"/>
        <v>0</v>
      </c>
      <c r="L27" s="403"/>
    </row>
    <row r="28" spans="1:12" ht="12.75" customHeight="1">
      <c r="A28" s="527" t="s">
        <v>1111</v>
      </c>
      <c r="B28" s="781" t="s">
        <v>1104</v>
      </c>
      <c r="C28" s="478" t="s">
        <v>1105</v>
      </c>
      <c r="D28" s="780">
        <v>523250.21517745452</v>
      </c>
      <c r="E28" s="540">
        <f t="shared" si="0"/>
        <v>0.16777825500526664</v>
      </c>
      <c r="F28" s="854">
        <f t="shared" si="1"/>
        <v>532115.14602187939</v>
      </c>
      <c r="G28" s="780">
        <v>458198.52778949239</v>
      </c>
      <c r="H28" s="879">
        <f t="shared" si="2"/>
        <v>-73916.618232387002</v>
      </c>
      <c r="I28" s="542">
        <f t="shared" si="3"/>
        <v>1334.3018223716065</v>
      </c>
      <c r="J28" s="856">
        <f t="shared" si="4"/>
        <v>-11049.102338073199</v>
      </c>
      <c r="K28" s="857">
        <f t="shared" si="5"/>
        <v>-83631.418748088588</v>
      </c>
      <c r="L28" s="403"/>
    </row>
    <row r="29" spans="1:12">
      <c r="A29" s="527"/>
      <c r="B29" s="478"/>
      <c r="C29" s="478"/>
      <c r="D29" s="780"/>
      <c r="E29" s="540">
        <f t="shared" si="0"/>
        <v>0</v>
      </c>
      <c r="F29" s="854">
        <f t="shared" si="1"/>
        <v>0</v>
      </c>
      <c r="G29" s="780"/>
      <c r="H29" s="540">
        <f t="shared" si="2"/>
        <v>0</v>
      </c>
      <c r="I29" s="542">
        <f t="shared" si="3"/>
        <v>0</v>
      </c>
      <c r="J29" s="856">
        <f t="shared" si="4"/>
        <v>0</v>
      </c>
      <c r="K29" s="857">
        <f t="shared" si="5"/>
        <v>0</v>
      </c>
      <c r="L29" s="403"/>
    </row>
    <row r="30" spans="1:12">
      <c r="A30" s="527"/>
      <c r="B30" s="478"/>
      <c r="C30" s="478"/>
      <c r="D30" s="780"/>
      <c r="E30" s="540">
        <f t="shared" si="0"/>
        <v>0</v>
      </c>
      <c r="F30" s="854">
        <f t="shared" si="1"/>
        <v>0</v>
      </c>
      <c r="G30" s="780"/>
      <c r="H30" s="540">
        <f t="shared" si="2"/>
        <v>0</v>
      </c>
      <c r="I30" s="542">
        <f t="shared" si="3"/>
        <v>0</v>
      </c>
      <c r="J30" s="856">
        <f t="shared" si="4"/>
        <v>0</v>
      </c>
      <c r="K30" s="857">
        <f t="shared" si="5"/>
        <v>0</v>
      </c>
      <c r="L30" s="403"/>
    </row>
    <row r="31" spans="1:12">
      <c r="A31" s="527"/>
      <c r="B31" s="478"/>
      <c r="C31" s="478"/>
      <c r="D31" s="780"/>
      <c r="E31" s="540">
        <f t="shared" si="0"/>
        <v>0</v>
      </c>
      <c r="F31" s="854">
        <f t="shared" si="1"/>
        <v>0</v>
      </c>
      <c r="G31" s="780"/>
      <c r="H31" s="540">
        <f t="shared" si="2"/>
        <v>0</v>
      </c>
      <c r="I31" s="542">
        <f t="shared" si="3"/>
        <v>0</v>
      </c>
      <c r="J31" s="856">
        <f t="shared" si="4"/>
        <v>0</v>
      </c>
      <c r="K31" s="857">
        <f t="shared" si="5"/>
        <v>0</v>
      </c>
      <c r="L31" s="403"/>
    </row>
    <row r="32" spans="1:12">
      <c r="A32" s="527"/>
      <c r="B32" s="478"/>
      <c r="C32" s="478"/>
      <c r="D32" s="780"/>
      <c r="E32" s="540">
        <f t="shared" si="0"/>
        <v>0</v>
      </c>
      <c r="F32" s="854">
        <f t="shared" si="1"/>
        <v>0</v>
      </c>
      <c r="G32" s="780"/>
      <c r="H32" s="540">
        <f t="shared" si="2"/>
        <v>0</v>
      </c>
      <c r="I32" s="542">
        <f t="shared" si="3"/>
        <v>0</v>
      </c>
      <c r="J32" s="856">
        <f t="shared" si="4"/>
        <v>0</v>
      </c>
      <c r="K32" s="857">
        <f t="shared" si="5"/>
        <v>0</v>
      </c>
      <c r="L32" s="403"/>
    </row>
    <row r="33" spans="1:12">
      <c r="A33" s="527"/>
      <c r="B33" s="478"/>
      <c r="C33" s="478"/>
      <c r="D33" s="780"/>
      <c r="E33" s="540">
        <f t="shared" si="0"/>
        <v>0</v>
      </c>
      <c r="F33" s="854">
        <f t="shared" si="1"/>
        <v>0</v>
      </c>
      <c r="G33" s="780"/>
      <c r="H33" s="540">
        <f t="shared" si="2"/>
        <v>0</v>
      </c>
      <c r="I33" s="542">
        <f t="shared" si="3"/>
        <v>0</v>
      </c>
      <c r="J33" s="856">
        <f t="shared" si="4"/>
        <v>0</v>
      </c>
      <c r="K33" s="857">
        <f t="shared" si="5"/>
        <v>0</v>
      </c>
      <c r="L33" s="403"/>
    </row>
    <row r="34" spans="1:12">
      <c r="A34" s="527"/>
      <c r="B34" s="478"/>
      <c r="C34" s="478"/>
      <c r="D34" s="780"/>
      <c r="E34" s="540">
        <f t="shared" si="0"/>
        <v>0</v>
      </c>
      <c r="F34" s="854">
        <f t="shared" si="1"/>
        <v>0</v>
      </c>
      <c r="G34" s="780"/>
      <c r="H34" s="540">
        <f t="shared" si="2"/>
        <v>0</v>
      </c>
      <c r="I34" s="542">
        <f t="shared" si="3"/>
        <v>0</v>
      </c>
      <c r="J34" s="856">
        <f t="shared" si="4"/>
        <v>0</v>
      </c>
      <c r="K34" s="857">
        <f t="shared" si="5"/>
        <v>0</v>
      </c>
      <c r="L34" s="403"/>
    </row>
    <row r="35" spans="1:12" ht="13.5" customHeight="1">
      <c r="A35" s="527"/>
      <c r="B35" s="478"/>
      <c r="C35" s="478"/>
      <c r="D35" s="780"/>
      <c r="E35" s="540">
        <f t="shared" si="0"/>
        <v>0</v>
      </c>
      <c r="F35" s="854">
        <f t="shared" si="1"/>
        <v>0</v>
      </c>
      <c r="G35" s="780"/>
      <c r="H35" s="540">
        <f t="shared" si="2"/>
        <v>0</v>
      </c>
      <c r="I35" s="542">
        <f t="shared" si="3"/>
        <v>0</v>
      </c>
      <c r="J35" s="856">
        <f t="shared" si="4"/>
        <v>0</v>
      </c>
      <c r="K35" s="857">
        <f t="shared" si="5"/>
        <v>0</v>
      </c>
      <c r="L35" s="403"/>
    </row>
    <row r="36" spans="1:12" ht="13.5" customHeight="1">
      <c r="A36" s="527"/>
      <c r="B36" s="478"/>
      <c r="C36" s="478"/>
      <c r="D36" s="780"/>
      <c r="E36" s="540">
        <f t="shared" si="0"/>
        <v>0</v>
      </c>
      <c r="F36" s="854">
        <f t="shared" si="1"/>
        <v>0</v>
      </c>
      <c r="G36" s="780"/>
      <c r="H36" s="540">
        <f t="shared" si="2"/>
        <v>0</v>
      </c>
      <c r="I36" s="542">
        <f t="shared" si="3"/>
        <v>0</v>
      </c>
      <c r="J36" s="856">
        <f t="shared" si="4"/>
        <v>0</v>
      </c>
      <c r="K36" s="857">
        <f t="shared" si="5"/>
        <v>0</v>
      </c>
      <c r="L36" s="403"/>
    </row>
    <row r="37" spans="1:12">
      <c r="A37" s="527"/>
      <c r="B37" s="478"/>
      <c r="C37" s="478"/>
      <c r="D37" s="780"/>
      <c r="E37" s="540">
        <f t="shared" si="0"/>
        <v>0</v>
      </c>
      <c r="F37" s="854">
        <f t="shared" si="1"/>
        <v>0</v>
      </c>
      <c r="G37" s="780"/>
      <c r="H37" s="540">
        <f t="shared" si="2"/>
        <v>0</v>
      </c>
      <c r="I37" s="542">
        <f t="shared" si="3"/>
        <v>0</v>
      </c>
      <c r="J37" s="856">
        <f t="shared" si="4"/>
        <v>0</v>
      </c>
      <c r="K37" s="857">
        <f t="shared" si="5"/>
        <v>0</v>
      </c>
      <c r="L37" s="403"/>
    </row>
    <row r="38" spans="1:12">
      <c r="A38" s="527"/>
      <c r="B38" s="462"/>
      <c r="C38" s="462"/>
      <c r="D38" s="543"/>
      <c r="E38" s="544"/>
      <c r="F38" s="855"/>
      <c r="G38" s="463"/>
      <c r="H38" s="462"/>
      <c r="I38" s="462">
        <f t="shared" si="3"/>
        <v>0</v>
      </c>
      <c r="J38" s="858"/>
      <c r="K38" s="858"/>
    </row>
    <row r="39" spans="1:12">
      <c r="A39" s="527">
        <v>4</v>
      </c>
      <c r="B39" s="15" t="s">
        <v>687</v>
      </c>
      <c r="C39" s="15"/>
      <c r="D39" s="794">
        <f t="shared" ref="D39:K39" si="6">SUM(D18:D38)</f>
        <v>3118701.0209459472</v>
      </c>
      <c r="E39" s="794">
        <f t="shared" si="6"/>
        <v>1</v>
      </c>
      <c r="F39" s="794">
        <f t="shared" si="6"/>
        <v>3171538.2068145601</v>
      </c>
      <c r="G39" s="794">
        <f t="shared" si="6"/>
        <v>2730976.8347221715</v>
      </c>
      <c r="H39" s="794">
        <f t="shared" si="6"/>
        <v>-440561.37209238892</v>
      </c>
      <c r="I39" s="794">
        <f t="shared" si="6"/>
        <v>7952.7696978951299</v>
      </c>
      <c r="J39" s="794">
        <f t="shared" si="6"/>
        <v>-65855.389530224638</v>
      </c>
      <c r="K39" s="794">
        <f t="shared" si="6"/>
        <v>-498463.99192471837</v>
      </c>
    </row>
    <row r="40" spans="1:12">
      <c r="A40" s="527"/>
      <c r="B40" s="15"/>
      <c r="C40" s="15"/>
      <c r="D40" s="545"/>
      <c r="E40" s="545"/>
      <c r="F40" s="545"/>
      <c r="G40" s="545"/>
      <c r="H40" s="545"/>
      <c r="I40" s="545"/>
      <c r="J40" s="545"/>
      <c r="K40" s="545"/>
    </row>
    <row r="41" spans="1:12">
      <c r="A41" s="527"/>
      <c r="B41" s="15"/>
      <c r="C41" s="15"/>
      <c r="D41" s="545"/>
      <c r="E41" s="545"/>
      <c r="F41" s="545"/>
      <c r="G41" s="545" t="s">
        <v>638</v>
      </c>
      <c r="H41" s="545"/>
      <c r="I41" s="545"/>
      <c r="J41" s="878">
        <f>'6-True-Up Interest'!H15*12</f>
        <v>7.6114285714285704E-2</v>
      </c>
      <c r="K41" s="545"/>
    </row>
    <row r="42" spans="1:12">
      <c r="A42" s="527"/>
      <c r="B42" s="15"/>
      <c r="C42" s="15"/>
      <c r="D42" s="545">
        <f>+D20+D24</f>
        <v>0</v>
      </c>
      <c r="E42" s="545"/>
      <c r="F42" s="545"/>
      <c r="G42" s="545" t="s">
        <v>639</v>
      </c>
      <c r="H42" s="545"/>
      <c r="I42" s="545"/>
      <c r="J42" s="794">
        <f>+J39</f>
        <v>-65855.389530224638</v>
      </c>
      <c r="K42" s="545"/>
    </row>
    <row r="43" spans="1:12">
      <c r="A43" s="527"/>
      <c r="B43" s="15" t="s">
        <v>274</v>
      </c>
      <c r="C43" s="15"/>
      <c r="D43" s="15"/>
      <c r="E43" s="15"/>
      <c r="F43" s="15"/>
      <c r="G43" s="15"/>
      <c r="H43" s="15"/>
      <c r="I43" s="15"/>
      <c r="J43" s="15"/>
      <c r="K43" s="15"/>
      <c r="L43" s="15"/>
    </row>
    <row r="44" spans="1:12">
      <c r="A44" s="527"/>
      <c r="B44" s="15" t="s">
        <v>877</v>
      </c>
      <c r="C44" s="15"/>
      <c r="D44" s="15"/>
      <c r="E44" s="15"/>
      <c r="F44" s="15"/>
      <c r="G44" s="15"/>
      <c r="H44" s="15"/>
      <c r="I44" s="15"/>
      <c r="J44" s="15"/>
      <c r="K44" s="15"/>
      <c r="L44" s="15"/>
    </row>
    <row r="45" spans="1:12">
      <c r="A45" s="527"/>
      <c r="B45" s="15" t="s">
        <v>933</v>
      </c>
      <c r="C45" s="15"/>
      <c r="D45" s="15"/>
      <c r="E45" s="15"/>
      <c r="F45" s="15"/>
      <c r="G45" s="15"/>
      <c r="H45" s="15"/>
      <c r="I45" s="15"/>
      <c r="J45" s="15"/>
      <c r="K45" s="15"/>
      <c r="L45" s="15"/>
    </row>
    <row r="46" spans="1:12">
      <c r="A46" s="527"/>
      <c r="B46" s="15" t="s">
        <v>883</v>
      </c>
      <c r="C46" s="15"/>
      <c r="D46" s="15"/>
      <c r="E46" s="15"/>
      <c r="F46" s="15"/>
      <c r="G46" s="15"/>
      <c r="H46" s="15"/>
      <c r="I46" s="15"/>
      <c r="J46" s="15"/>
      <c r="K46" s="15"/>
      <c r="L46" s="15"/>
    </row>
    <row r="47" spans="1:12">
      <c r="A47" s="527"/>
      <c r="B47" s="24" t="s">
        <v>884</v>
      </c>
      <c r="C47" s="15"/>
      <c r="D47" s="15"/>
      <c r="E47" s="15"/>
      <c r="F47" s="15"/>
      <c r="G47" s="15"/>
      <c r="H47" s="15"/>
      <c r="I47" s="15"/>
      <c r="J47" s="15"/>
      <c r="K47" s="15"/>
      <c r="L47" s="15"/>
    </row>
    <row r="48" spans="1:12">
      <c r="A48" s="527"/>
      <c r="B48" s="15" t="s">
        <v>853</v>
      </c>
      <c r="C48" s="15"/>
      <c r="D48" s="15"/>
      <c r="E48" s="15"/>
      <c r="F48" s="15"/>
      <c r="G48" s="15"/>
      <c r="H48" s="15"/>
      <c r="I48" s="15"/>
      <c r="J48" s="15"/>
      <c r="K48" s="15"/>
      <c r="L48" s="15"/>
    </row>
    <row r="49" spans="1:12">
      <c r="A49" s="527"/>
      <c r="B49" s="464" t="s">
        <v>885</v>
      </c>
      <c r="C49" s="15"/>
      <c r="D49" s="15"/>
      <c r="E49" s="15"/>
      <c r="F49" s="15"/>
      <c r="G49" s="15"/>
      <c r="H49" s="15"/>
      <c r="I49" s="15"/>
      <c r="J49" s="15"/>
      <c r="K49" s="15"/>
      <c r="L49" s="15"/>
    </row>
    <row r="50" spans="1:12">
      <c r="A50" s="527"/>
      <c r="B50" s="15"/>
      <c r="C50" s="15"/>
      <c r="D50" s="15"/>
      <c r="E50" s="15"/>
      <c r="F50" s="15"/>
      <c r="G50" s="15"/>
      <c r="H50" s="15"/>
      <c r="I50" s="15"/>
      <c r="J50" s="15"/>
      <c r="K50" s="15"/>
      <c r="L50" s="15"/>
    </row>
    <row r="51" spans="1:12">
      <c r="A51" s="527"/>
      <c r="J51" s="15"/>
      <c r="K51" s="15"/>
      <c r="L51" s="15"/>
    </row>
    <row r="52" spans="1:12">
      <c r="A52" s="527"/>
      <c r="C52" s="15"/>
      <c r="D52" s="15"/>
      <c r="E52" s="15"/>
      <c r="F52" s="15"/>
      <c r="G52" s="15"/>
      <c r="H52" s="15"/>
      <c r="I52" s="15"/>
      <c r="J52" s="15"/>
      <c r="K52" s="15"/>
      <c r="L52" s="15"/>
    </row>
    <row r="53" spans="1:12">
      <c r="A53" s="527"/>
      <c r="C53" s="15"/>
      <c r="D53" s="15"/>
      <c r="E53" s="15"/>
      <c r="F53" s="15"/>
      <c r="G53" s="15"/>
      <c r="H53" s="15"/>
      <c r="I53" s="15"/>
      <c r="J53" s="15"/>
      <c r="K53" s="15"/>
      <c r="L53" s="15"/>
    </row>
    <row r="54" spans="1:12">
      <c r="A54" s="527"/>
      <c r="D54" s="26"/>
      <c r="E54" s="26"/>
      <c r="F54" s="26"/>
      <c r="G54" s="26"/>
      <c r="H54" s="26"/>
    </row>
    <row r="55" spans="1:12">
      <c r="A55" s="547" t="s">
        <v>742</v>
      </c>
      <c r="D55" s="26"/>
      <c r="E55" s="26"/>
      <c r="F55" s="26"/>
      <c r="G55" s="26"/>
      <c r="H55" s="26"/>
    </row>
    <row r="56" spans="1:12">
      <c r="A56" s="548"/>
      <c r="B56" s="51" t="s">
        <v>292</v>
      </c>
      <c r="C56" s="465" t="s">
        <v>293</v>
      </c>
      <c r="D56" s="51" t="s">
        <v>294</v>
      </c>
      <c r="E56" s="51" t="s">
        <v>295</v>
      </c>
      <c r="F56" s="51"/>
    </row>
    <row r="57" spans="1:12">
      <c r="A57" s="548"/>
      <c r="B57" s="466" t="str">
        <f>+A55</f>
        <v>Prior Period Adjustment</v>
      </c>
      <c r="C57" s="467" t="s">
        <v>19</v>
      </c>
      <c r="D57" s="467" t="s">
        <v>502</v>
      </c>
      <c r="E57" s="467" t="s">
        <v>21</v>
      </c>
    </row>
    <row r="58" spans="1:12">
      <c r="A58" s="548"/>
      <c r="B58" s="468" t="s">
        <v>743</v>
      </c>
      <c r="C58" s="469" t="s">
        <v>640</v>
      </c>
      <c r="D58" s="469" t="s">
        <v>600</v>
      </c>
      <c r="E58" s="469" t="s">
        <v>641</v>
      </c>
    </row>
    <row r="59" spans="1:12">
      <c r="A59" s="548" t="s">
        <v>216</v>
      </c>
      <c r="B59" s="470" t="s">
        <v>1288</v>
      </c>
      <c r="C59" s="860">
        <v>7952.7696978951308</v>
      </c>
      <c r="D59" s="860">
        <v>0</v>
      </c>
      <c r="E59" s="472">
        <f>C59+D59</f>
        <v>7952.7696978951308</v>
      </c>
    </row>
    <row r="60" spans="1:12">
      <c r="A60" s="548"/>
      <c r="B60" s="473"/>
      <c r="C60" s="46"/>
      <c r="D60" s="46"/>
      <c r="E60" s="372"/>
    </row>
    <row r="61" spans="1:12">
      <c r="A61" s="548"/>
      <c r="H61" s="18"/>
    </row>
    <row r="62" spans="1:12" ht="66" customHeight="1">
      <c r="A62" s="548"/>
      <c r="C62" s="15"/>
      <c r="D62" s="474"/>
      <c r="E62" s="474"/>
      <c r="F62" s="474"/>
      <c r="G62" s="474"/>
      <c r="H62" s="474"/>
      <c r="I62" s="474"/>
    </row>
    <row r="63" spans="1:12" ht="56.25" customHeight="1">
      <c r="A63" s="549" t="s">
        <v>274</v>
      </c>
      <c r="B63" s="115" t="s">
        <v>75</v>
      </c>
      <c r="C63" s="972" t="s">
        <v>890</v>
      </c>
      <c r="D63" s="972"/>
      <c r="E63" s="972"/>
      <c r="F63" s="972"/>
      <c r="G63" s="972"/>
      <c r="H63" s="972"/>
      <c r="I63" s="972"/>
      <c r="J63" s="972"/>
    </row>
    <row r="64" spans="1:12" ht="27" customHeight="1">
      <c r="A64" s="548"/>
      <c r="B64" s="450" t="s">
        <v>76</v>
      </c>
      <c r="C64" s="966" t="s">
        <v>744</v>
      </c>
      <c r="D64" s="966"/>
      <c r="E64" s="966"/>
      <c r="F64" s="966"/>
      <c r="G64" s="966"/>
      <c r="H64" s="966"/>
      <c r="I64" s="966"/>
    </row>
    <row r="68" ht="24" customHeight="1"/>
  </sheetData>
  <mergeCells count="4">
    <mergeCell ref="C64:I64"/>
    <mergeCell ref="D10:E10"/>
    <mergeCell ref="D11:E11"/>
    <mergeCell ref="C63:J63"/>
  </mergeCells>
  <phoneticPr fontId="0" type="noConversion"/>
  <pageMargins left="0.25" right="0.25" top="0.75" bottom="0.75" header="0.3" footer="0.3"/>
  <pageSetup scale="10"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P76"/>
  <sheetViews>
    <sheetView zoomScaleNormal="100" workbookViewId="0"/>
  </sheetViews>
  <sheetFormatPr defaultColWidth="8.84375" defaultRowHeight="13"/>
  <cols>
    <col min="1" max="1" width="4.84375" style="13" customWidth="1"/>
    <col min="2" max="2" width="29" style="15" bestFit="1" customWidth="1"/>
    <col min="3" max="3" width="20" style="15" customWidth="1"/>
    <col min="4" max="4" width="19.23046875" style="15" customWidth="1"/>
    <col min="5" max="5" width="16" style="15" customWidth="1"/>
    <col min="6" max="6" width="18.69140625" style="15" customWidth="1"/>
    <col min="7" max="7" width="21.3046875" style="15" customWidth="1"/>
    <col min="8" max="8" width="18" style="15" customWidth="1"/>
    <col min="9" max="9" width="20.765625" style="15" customWidth="1"/>
    <col min="10" max="10" width="25.23046875" style="15" customWidth="1"/>
    <col min="11" max="14" width="11.765625" style="15" customWidth="1"/>
    <col min="15" max="16384" width="8.84375" style="15"/>
  </cols>
  <sheetData>
    <row r="1" spans="1:12">
      <c r="C1" s="1"/>
      <c r="D1" s="1"/>
      <c r="E1" s="1"/>
      <c r="G1" s="20" t="s">
        <v>283</v>
      </c>
      <c r="H1" s="1"/>
      <c r="I1" s="1"/>
      <c r="J1" s="7" t="s">
        <v>945</v>
      </c>
    </row>
    <row r="2" spans="1:12">
      <c r="A2" s="304"/>
      <c r="C2" s="1"/>
      <c r="D2" s="1"/>
      <c r="E2" s="1"/>
      <c r="F2" s="1"/>
      <c r="G2" s="341" t="s">
        <v>415</v>
      </c>
      <c r="H2" s="1"/>
      <c r="I2" s="1"/>
      <c r="J2" s="1"/>
      <c r="L2" s="299"/>
    </row>
    <row r="3" spans="1:12">
      <c r="A3" s="304"/>
      <c r="C3" s="1"/>
      <c r="D3" s="1"/>
      <c r="E3" s="1"/>
      <c r="F3" s="1"/>
      <c r="G3" s="139" t="str">
        <f>+'Attachment H'!D5</f>
        <v>Gridliance High Plains LLC</v>
      </c>
      <c r="H3" s="1"/>
      <c r="I3" s="1"/>
      <c r="J3" s="1"/>
    </row>
    <row r="4" spans="1:12">
      <c r="A4" s="304"/>
      <c r="C4" s="1"/>
      <c r="D4" s="1"/>
      <c r="E4" s="1"/>
      <c r="F4" s="1"/>
      <c r="G4" s="1"/>
      <c r="H4" s="1"/>
      <c r="I4" s="1"/>
      <c r="J4" s="1"/>
    </row>
    <row r="5" spans="1:12">
      <c r="A5" s="304"/>
      <c r="B5" s="2"/>
      <c r="C5" s="2"/>
      <c r="D5" s="2"/>
      <c r="E5" s="2"/>
      <c r="F5" s="2"/>
      <c r="G5" s="2"/>
      <c r="H5" s="2"/>
      <c r="I5" s="2"/>
      <c r="J5" s="2"/>
    </row>
    <row r="6" spans="1:12">
      <c r="A6" s="304"/>
      <c r="B6" s="2"/>
      <c r="C6" s="975" t="s">
        <v>304</v>
      </c>
      <c r="D6" s="975"/>
      <c r="E6" s="11" t="s">
        <v>306</v>
      </c>
      <c r="F6" s="11" t="s">
        <v>307</v>
      </c>
      <c r="G6" s="975" t="s">
        <v>305</v>
      </c>
      <c r="H6" s="975"/>
      <c r="I6" s="974" t="s">
        <v>303</v>
      </c>
      <c r="J6" s="974"/>
    </row>
    <row r="7" spans="1:12" s="12" customFormat="1" ht="26">
      <c r="A7" s="305" t="s">
        <v>291</v>
      </c>
      <c r="B7" s="3" t="s">
        <v>252</v>
      </c>
      <c r="C7" s="3" t="s">
        <v>25</v>
      </c>
      <c r="D7" s="3" t="s">
        <v>262</v>
      </c>
      <c r="E7" s="3" t="s">
        <v>745</v>
      </c>
      <c r="F7" s="3" t="s">
        <v>253</v>
      </c>
      <c r="G7" s="3" t="s">
        <v>254</v>
      </c>
      <c r="H7" s="3" t="s">
        <v>255</v>
      </c>
      <c r="I7" s="3" t="s">
        <v>25</v>
      </c>
      <c r="J7" s="3" t="s">
        <v>262</v>
      </c>
    </row>
    <row r="8" spans="1:12" s="14" customFormat="1">
      <c r="A8" s="304"/>
      <c r="B8" s="11" t="s">
        <v>292</v>
      </c>
      <c r="C8" s="11" t="s">
        <v>293</v>
      </c>
      <c r="D8" s="11" t="s">
        <v>294</v>
      </c>
      <c r="E8" s="3" t="s">
        <v>295</v>
      </c>
      <c r="F8" s="3" t="s">
        <v>297</v>
      </c>
      <c r="G8" s="3" t="s">
        <v>296</v>
      </c>
      <c r="H8" s="3" t="s">
        <v>298</v>
      </c>
      <c r="I8" s="4" t="s">
        <v>299</v>
      </c>
      <c r="J8" s="4" t="s">
        <v>300</v>
      </c>
    </row>
    <row r="9" spans="1:12" s="14" customFormat="1">
      <c r="A9" s="304"/>
      <c r="B9" s="131" t="s">
        <v>747</v>
      </c>
      <c r="C9" s="341">
        <v>2</v>
      </c>
      <c r="D9" s="341">
        <v>4</v>
      </c>
      <c r="E9" s="342">
        <v>27</v>
      </c>
      <c r="F9" s="342">
        <v>31</v>
      </c>
      <c r="G9" s="342">
        <v>34</v>
      </c>
      <c r="H9" s="342">
        <v>35</v>
      </c>
      <c r="I9" s="343">
        <v>9</v>
      </c>
      <c r="J9" s="343">
        <v>11</v>
      </c>
    </row>
    <row r="10" spans="1:12" s="14" customFormat="1" ht="26">
      <c r="A10" s="304"/>
      <c r="B10" s="11"/>
      <c r="C10" s="402" t="s">
        <v>548</v>
      </c>
      <c r="D10" s="402" t="s">
        <v>594</v>
      </c>
      <c r="E10" s="550" t="s">
        <v>179</v>
      </c>
      <c r="F10" s="402" t="s">
        <v>876</v>
      </c>
      <c r="G10" s="402" t="s">
        <v>552</v>
      </c>
      <c r="H10" s="402" t="s">
        <v>551</v>
      </c>
      <c r="I10" s="402" t="s">
        <v>549</v>
      </c>
      <c r="J10" s="402" t="s">
        <v>550</v>
      </c>
    </row>
    <row r="11" spans="1:12">
      <c r="A11" s="304">
        <v>1</v>
      </c>
      <c r="B11" s="5" t="s">
        <v>289</v>
      </c>
      <c r="C11" s="6">
        <v>18189760.969999999</v>
      </c>
      <c r="D11" s="6">
        <v>3341.7592970788783</v>
      </c>
      <c r="E11" s="6">
        <v>0</v>
      </c>
      <c r="F11" s="6">
        <v>0</v>
      </c>
      <c r="G11" s="6">
        <v>336784.71077733301</v>
      </c>
      <c r="H11" s="6">
        <v>24386.238764464295</v>
      </c>
      <c r="I11" s="521">
        <v>2490388.5302944826</v>
      </c>
      <c r="J11" s="6">
        <v>1360.6713983935922</v>
      </c>
    </row>
    <row r="12" spans="1:12">
      <c r="A12" s="304">
        <v>2</v>
      </c>
      <c r="B12" s="5" t="s">
        <v>105</v>
      </c>
      <c r="C12" s="6">
        <v>18189760.969999999</v>
      </c>
      <c r="D12" s="6">
        <v>3341.7592970788783</v>
      </c>
      <c r="E12" s="6">
        <v>0</v>
      </c>
      <c r="F12" s="6">
        <v>0</v>
      </c>
      <c r="G12" s="6">
        <v>336784.71077733301</v>
      </c>
      <c r="H12" s="6">
        <v>24386.238764464295</v>
      </c>
      <c r="I12" s="521">
        <v>2523475.3832905875</v>
      </c>
      <c r="J12" s="6">
        <v>1389.5479629359675</v>
      </c>
    </row>
    <row r="13" spans="1:12">
      <c r="A13" s="304">
        <v>3</v>
      </c>
      <c r="B13" s="1" t="s">
        <v>104</v>
      </c>
      <c r="C13" s="6">
        <v>18189760.969999999</v>
      </c>
      <c r="D13" s="6">
        <v>3341.7592970788783</v>
      </c>
      <c r="E13" s="6">
        <v>0</v>
      </c>
      <c r="F13" s="6">
        <v>0</v>
      </c>
      <c r="G13" s="6">
        <v>336784.71077733301</v>
      </c>
      <c r="H13" s="6">
        <v>24386.238764464295</v>
      </c>
      <c r="I13" s="521">
        <v>2556562.2362866933</v>
      </c>
      <c r="J13" s="6">
        <v>1418.424527478343</v>
      </c>
    </row>
    <row r="14" spans="1:12">
      <c r="A14" s="304">
        <v>4</v>
      </c>
      <c r="B14" s="1" t="s">
        <v>256</v>
      </c>
      <c r="C14" s="6">
        <v>18189760.969999999</v>
      </c>
      <c r="D14" s="6">
        <v>3341.7592970788783</v>
      </c>
      <c r="E14" s="6">
        <v>0</v>
      </c>
      <c r="F14" s="6">
        <v>0</v>
      </c>
      <c r="G14" s="6">
        <v>336784.71077733301</v>
      </c>
      <c r="H14" s="6">
        <v>24386.238764464295</v>
      </c>
      <c r="I14" s="521">
        <v>2589649.089282799</v>
      </c>
      <c r="J14" s="6">
        <v>1447.301092020718</v>
      </c>
    </row>
    <row r="15" spans="1:12">
      <c r="A15" s="304">
        <v>5</v>
      </c>
      <c r="B15" s="1" t="s">
        <v>95</v>
      </c>
      <c r="C15" s="6">
        <v>18189760.969999999</v>
      </c>
      <c r="D15" s="6">
        <v>3341.7592970788783</v>
      </c>
      <c r="E15" s="6">
        <v>0</v>
      </c>
      <c r="F15" s="6">
        <v>0</v>
      </c>
      <c r="G15" s="6">
        <v>336784.71077733301</v>
      </c>
      <c r="H15" s="6">
        <v>24386.238764464295</v>
      </c>
      <c r="I15" s="521">
        <v>2622735.9422789002</v>
      </c>
      <c r="J15" s="6">
        <v>1476.1776565630928</v>
      </c>
    </row>
    <row r="16" spans="1:12">
      <c r="A16" s="304">
        <v>6</v>
      </c>
      <c r="B16" s="1" t="s">
        <v>92</v>
      </c>
      <c r="C16" s="6">
        <v>18189760.969999999</v>
      </c>
      <c r="D16" s="6">
        <v>3341.7592970788783</v>
      </c>
      <c r="E16" s="6">
        <v>0</v>
      </c>
      <c r="F16" s="6">
        <v>0</v>
      </c>
      <c r="G16" s="6">
        <v>336784.71077733301</v>
      </c>
      <c r="H16" s="6">
        <v>24386.238764464295</v>
      </c>
      <c r="I16" s="521">
        <v>2655822.7952750097</v>
      </c>
      <c r="J16" s="6">
        <v>1505.0542211054685</v>
      </c>
    </row>
    <row r="17" spans="1:10">
      <c r="A17" s="304">
        <v>7</v>
      </c>
      <c r="B17" s="1" t="s">
        <v>145</v>
      </c>
      <c r="C17" s="6">
        <v>18189760.969999999</v>
      </c>
      <c r="D17" s="6">
        <v>3341.7592970788783</v>
      </c>
      <c r="E17" s="6">
        <v>0</v>
      </c>
      <c r="F17" s="6">
        <v>0</v>
      </c>
      <c r="G17" s="6">
        <v>336784.71077733301</v>
      </c>
      <c r="H17" s="6">
        <v>24386.238764464295</v>
      </c>
      <c r="I17" s="521">
        <v>2688909.6482711118</v>
      </c>
      <c r="J17" s="6">
        <v>1533.9307856478433</v>
      </c>
    </row>
    <row r="18" spans="1:10">
      <c r="A18" s="304">
        <v>8</v>
      </c>
      <c r="B18" s="1" t="s">
        <v>102</v>
      </c>
      <c r="C18" s="6">
        <v>18189760.969999999</v>
      </c>
      <c r="D18" s="6">
        <v>3341.7592970788783</v>
      </c>
      <c r="E18" s="6">
        <v>0</v>
      </c>
      <c r="F18" s="6">
        <v>0</v>
      </c>
      <c r="G18" s="6">
        <v>336784.71077733301</v>
      </c>
      <c r="H18" s="6">
        <v>24386.238764464295</v>
      </c>
      <c r="I18" s="521">
        <v>2721996.5012672171</v>
      </c>
      <c r="J18" s="6">
        <v>1562.8073501902186</v>
      </c>
    </row>
    <row r="19" spans="1:10">
      <c r="A19" s="304">
        <v>9</v>
      </c>
      <c r="B19" s="1" t="s">
        <v>257</v>
      </c>
      <c r="C19" s="6">
        <v>18189760.969999999</v>
      </c>
      <c r="D19" s="6">
        <v>3341.7592970788783</v>
      </c>
      <c r="E19" s="6">
        <v>0</v>
      </c>
      <c r="F19" s="6">
        <v>0</v>
      </c>
      <c r="G19" s="6">
        <v>336784.71077733301</v>
      </c>
      <c r="H19" s="6">
        <v>24386.238764464295</v>
      </c>
      <c r="I19" s="521">
        <v>2755083.3542633229</v>
      </c>
      <c r="J19" s="6">
        <v>1591.6839147325936</v>
      </c>
    </row>
    <row r="20" spans="1:10">
      <c r="A20" s="304">
        <v>10</v>
      </c>
      <c r="B20" s="1" t="s">
        <v>100</v>
      </c>
      <c r="C20" s="6">
        <v>18189760.969999999</v>
      </c>
      <c r="D20" s="6">
        <v>3341.7592970788783</v>
      </c>
      <c r="E20" s="6">
        <v>0</v>
      </c>
      <c r="F20" s="6">
        <v>0</v>
      </c>
      <c r="G20" s="6">
        <v>336784.71077733301</v>
      </c>
      <c r="H20" s="6">
        <v>24386.238764464295</v>
      </c>
      <c r="I20" s="521">
        <v>2788170.207259424</v>
      </c>
      <c r="J20" s="6">
        <v>1620.5604792749691</v>
      </c>
    </row>
    <row r="21" spans="1:10">
      <c r="A21" s="304">
        <v>11</v>
      </c>
      <c r="B21" s="1" t="s">
        <v>106</v>
      </c>
      <c r="C21" s="6">
        <v>18189760.969999999</v>
      </c>
      <c r="D21" s="6">
        <v>3341.7592970788783</v>
      </c>
      <c r="E21" s="6">
        <v>0</v>
      </c>
      <c r="F21" s="6">
        <v>0</v>
      </c>
      <c r="G21" s="6">
        <v>336784.71077733301</v>
      </c>
      <c r="H21" s="6">
        <v>24386.238764464295</v>
      </c>
      <c r="I21" s="521">
        <v>2821257.0602555303</v>
      </c>
      <c r="J21" s="6">
        <v>1649.4370438173439</v>
      </c>
    </row>
    <row r="22" spans="1:10">
      <c r="A22" s="304">
        <v>12</v>
      </c>
      <c r="B22" s="1" t="s">
        <v>99</v>
      </c>
      <c r="C22" s="6">
        <v>18189760.969999999</v>
      </c>
      <c r="D22" s="6">
        <v>3341.7592970788783</v>
      </c>
      <c r="E22" s="6">
        <v>0</v>
      </c>
      <c r="F22" s="6">
        <v>0</v>
      </c>
      <c r="G22" s="6">
        <v>336784.71077733301</v>
      </c>
      <c r="H22" s="6">
        <v>24386.238764464295</v>
      </c>
      <c r="I22" s="521">
        <v>2854343.9132516375</v>
      </c>
      <c r="J22" s="6">
        <v>1678.3136083597194</v>
      </c>
    </row>
    <row r="23" spans="1:10">
      <c r="A23" s="304">
        <v>13</v>
      </c>
      <c r="B23" s="1" t="s">
        <v>290</v>
      </c>
      <c r="C23" s="6">
        <v>18189760.969999999</v>
      </c>
      <c r="D23" s="6">
        <v>3341.7592849479129</v>
      </c>
      <c r="E23" s="6">
        <v>0</v>
      </c>
      <c r="F23" s="6">
        <v>0</v>
      </c>
      <c r="G23" s="6">
        <v>336784.71077733301</v>
      </c>
      <c r="H23" s="6">
        <v>24386.238764464295</v>
      </c>
      <c r="I23" s="783">
        <v>2887430.7684074161</v>
      </c>
      <c r="J23" s="6">
        <v>1707.1901683420008</v>
      </c>
    </row>
    <row r="24" spans="1:10" ht="13.5" thickBot="1">
      <c r="A24" s="304">
        <v>14</v>
      </c>
      <c r="B24" s="7" t="s">
        <v>416</v>
      </c>
      <c r="C24" s="643">
        <f t="shared" ref="C24:H24" si="0">SUM(C11:C23)/13</f>
        <v>18189760.969999999</v>
      </c>
      <c r="D24" s="643">
        <f>SUM(D11:D23)/13</f>
        <v>3341.7592961457267</v>
      </c>
      <c r="E24" s="643">
        <f t="shared" si="0"/>
        <v>0</v>
      </c>
      <c r="F24" s="643">
        <f t="shared" si="0"/>
        <v>0</v>
      </c>
      <c r="G24" s="643">
        <f t="shared" si="0"/>
        <v>336784.71077733301</v>
      </c>
      <c r="H24" s="643">
        <f t="shared" si="0"/>
        <v>24386.238764464295</v>
      </c>
      <c r="I24" s="643">
        <f>SUM(I11:I23)/13</f>
        <v>2688909.6484372416</v>
      </c>
      <c r="J24" s="643">
        <f>SUM(J11:J23)/13</f>
        <v>1533.9307852970669</v>
      </c>
    </row>
    <row r="25" spans="1:10" ht="13.5" thickTop="1">
      <c r="A25" s="304"/>
      <c r="B25" s="1"/>
      <c r="C25" s="9"/>
      <c r="D25" s="16"/>
      <c r="E25" s="16"/>
      <c r="F25" s="16"/>
      <c r="G25" s="9"/>
      <c r="H25" s="9"/>
      <c r="I25" s="9"/>
    </row>
    <row r="26" spans="1:10">
      <c r="A26" s="304"/>
      <c r="B26" s="10"/>
      <c r="C26" s="974" t="s">
        <v>308</v>
      </c>
      <c r="D26" s="974"/>
      <c r="E26" s="974"/>
      <c r="F26" s="974"/>
      <c r="G26" s="974"/>
      <c r="H26" s="974"/>
      <c r="I26" s="974"/>
    </row>
    <row r="27" spans="1:10" ht="72" customHeight="1">
      <c r="A27" s="304" t="s">
        <v>291</v>
      </c>
      <c r="B27" s="11" t="s">
        <v>252</v>
      </c>
      <c r="C27" s="4" t="s">
        <v>258</v>
      </c>
      <c r="D27" s="4" t="s">
        <v>259</v>
      </c>
      <c r="E27" s="4" t="s">
        <v>624</v>
      </c>
      <c r="F27" s="4" t="s">
        <v>625</v>
      </c>
      <c r="G27" s="4" t="s">
        <v>626</v>
      </c>
      <c r="H27" s="4" t="s">
        <v>746</v>
      </c>
      <c r="I27" s="4" t="s">
        <v>418</v>
      </c>
    </row>
    <row r="28" spans="1:10" s="14" customFormat="1">
      <c r="A28" s="304"/>
      <c r="B28" s="11" t="s">
        <v>292</v>
      </c>
      <c r="C28" s="4" t="s">
        <v>293</v>
      </c>
      <c r="D28" s="4" t="s">
        <v>294</v>
      </c>
      <c r="E28" s="4" t="s">
        <v>295</v>
      </c>
      <c r="F28" s="4" t="s">
        <v>297</v>
      </c>
      <c r="G28" s="4" t="s">
        <v>296</v>
      </c>
      <c r="H28" s="4" t="s">
        <v>298</v>
      </c>
      <c r="I28" s="4" t="s">
        <v>299</v>
      </c>
    </row>
    <row r="29" spans="1:10" s="14" customFormat="1">
      <c r="A29" s="304"/>
      <c r="B29" s="131" t="s">
        <v>747</v>
      </c>
      <c r="C29" s="343">
        <v>28</v>
      </c>
      <c r="D29" s="343">
        <v>29</v>
      </c>
      <c r="E29" s="343">
        <v>22</v>
      </c>
      <c r="F29" s="343">
        <v>23</v>
      </c>
      <c r="G29" s="343">
        <v>24</v>
      </c>
      <c r="H29" s="343">
        <v>25</v>
      </c>
      <c r="I29" s="343">
        <v>26</v>
      </c>
    </row>
    <row r="30" spans="1:10" s="14" customFormat="1" ht="26">
      <c r="A30" s="304"/>
      <c r="B30" s="11"/>
      <c r="C30" s="3" t="s">
        <v>620</v>
      </c>
      <c r="D30" s="4" t="s">
        <v>621</v>
      </c>
      <c r="E30" s="4" t="s">
        <v>622</v>
      </c>
      <c r="F30" s="4" t="s">
        <v>1066</v>
      </c>
      <c r="G30" s="4" t="s">
        <v>1066</v>
      </c>
      <c r="H30" s="4" t="s">
        <v>1066</v>
      </c>
      <c r="I30" s="4" t="s">
        <v>623</v>
      </c>
    </row>
    <row r="31" spans="1:10">
      <c r="A31" s="304">
        <v>15</v>
      </c>
      <c r="B31" s="5" t="s">
        <v>289</v>
      </c>
      <c r="C31" s="6">
        <v>0</v>
      </c>
      <c r="D31" s="6">
        <v>0</v>
      </c>
      <c r="E31" s="6">
        <v>0</v>
      </c>
      <c r="F31" s="423"/>
      <c r="G31" s="423"/>
      <c r="H31" s="423"/>
      <c r="I31" s="6">
        <v>0</v>
      </c>
    </row>
    <row r="32" spans="1:10">
      <c r="A32" s="304">
        <v>16</v>
      </c>
      <c r="B32" s="5" t="s">
        <v>105</v>
      </c>
      <c r="C32" s="6">
        <v>0</v>
      </c>
      <c r="D32" s="6">
        <v>0</v>
      </c>
      <c r="E32" s="423"/>
      <c r="F32" s="423"/>
      <c r="G32" s="423"/>
      <c r="H32" s="423"/>
      <c r="I32" s="6">
        <v>0</v>
      </c>
    </row>
    <row r="33" spans="1:15">
      <c r="A33" s="304">
        <v>17</v>
      </c>
      <c r="B33" s="1" t="s">
        <v>104</v>
      </c>
      <c r="C33" s="6">
        <v>0</v>
      </c>
      <c r="D33" s="6">
        <v>0</v>
      </c>
      <c r="E33" s="423"/>
      <c r="F33" s="423"/>
      <c r="G33" s="423"/>
      <c r="H33" s="423"/>
      <c r="I33" s="6">
        <v>0</v>
      </c>
    </row>
    <row r="34" spans="1:15">
      <c r="A34" s="304">
        <v>18</v>
      </c>
      <c r="B34" s="1" t="s">
        <v>256</v>
      </c>
      <c r="C34" s="6">
        <v>0</v>
      </c>
      <c r="D34" s="6">
        <v>0</v>
      </c>
      <c r="E34" s="423"/>
      <c r="F34" s="423"/>
      <c r="G34" s="423"/>
      <c r="H34" s="423"/>
      <c r="I34" s="6">
        <v>0</v>
      </c>
    </row>
    <row r="35" spans="1:15">
      <c r="A35" s="304">
        <v>19</v>
      </c>
      <c r="B35" s="1" t="s">
        <v>95</v>
      </c>
      <c r="C35" s="6">
        <v>0</v>
      </c>
      <c r="D35" s="6">
        <v>0</v>
      </c>
      <c r="E35" s="423"/>
      <c r="F35" s="423"/>
      <c r="G35" s="423"/>
      <c r="H35" s="423"/>
      <c r="I35" s="6">
        <v>0</v>
      </c>
    </row>
    <row r="36" spans="1:15">
      <c r="A36" s="304">
        <v>20</v>
      </c>
      <c r="B36" s="1" t="s">
        <v>92</v>
      </c>
      <c r="C36" s="6">
        <v>0</v>
      </c>
      <c r="D36" s="6">
        <v>0</v>
      </c>
      <c r="E36" s="423"/>
      <c r="F36" s="423"/>
      <c r="G36" s="423"/>
      <c r="H36" s="423"/>
      <c r="I36" s="6">
        <v>0</v>
      </c>
    </row>
    <row r="37" spans="1:15">
      <c r="A37" s="304">
        <v>21</v>
      </c>
      <c r="B37" s="1" t="s">
        <v>145</v>
      </c>
      <c r="C37" s="6">
        <v>0</v>
      </c>
      <c r="D37" s="6">
        <v>0</v>
      </c>
      <c r="E37" s="423"/>
      <c r="F37" s="423"/>
      <c r="G37" s="423"/>
      <c r="H37" s="423"/>
      <c r="I37" s="6">
        <v>0</v>
      </c>
    </row>
    <row r="38" spans="1:15">
      <c r="A38" s="304">
        <v>22</v>
      </c>
      <c r="B38" s="1" t="s">
        <v>102</v>
      </c>
      <c r="C38" s="6">
        <v>0</v>
      </c>
      <c r="D38" s="6">
        <v>0</v>
      </c>
      <c r="E38" s="423"/>
      <c r="F38" s="423"/>
      <c r="G38" s="423"/>
      <c r="H38" s="423"/>
      <c r="I38" s="6">
        <v>0</v>
      </c>
    </row>
    <row r="39" spans="1:15">
      <c r="A39" s="304">
        <v>23</v>
      </c>
      <c r="B39" s="1" t="s">
        <v>257</v>
      </c>
      <c r="C39" s="6">
        <v>0</v>
      </c>
      <c r="D39" s="6">
        <v>0</v>
      </c>
      <c r="E39" s="423"/>
      <c r="F39" s="423"/>
      <c r="G39" s="423"/>
      <c r="H39" s="423"/>
      <c r="I39" s="6">
        <v>0</v>
      </c>
    </row>
    <row r="40" spans="1:15">
      <c r="A40" s="304">
        <v>24</v>
      </c>
      <c r="B40" s="1" t="s">
        <v>100</v>
      </c>
      <c r="C40" s="6">
        <v>0</v>
      </c>
      <c r="D40" s="6">
        <v>0</v>
      </c>
      <c r="E40" s="423"/>
      <c r="F40" s="423"/>
      <c r="G40" s="423"/>
      <c r="H40" s="423"/>
      <c r="I40" s="6">
        <v>0</v>
      </c>
    </row>
    <row r="41" spans="1:15">
      <c r="A41" s="304">
        <v>25</v>
      </c>
      <c r="B41" s="1" t="s">
        <v>106</v>
      </c>
      <c r="C41" s="6">
        <v>0</v>
      </c>
      <c r="D41" s="6">
        <v>0</v>
      </c>
      <c r="E41" s="423"/>
      <c r="F41" s="423"/>
      <c r="G41" s="423"/>
      <c r="H41" s="423"/>
      <c r="I41" s="6">
        <v>0</v>
      </c>
    </row>
    <row r="42" spans="1:15">
      <c r="A42" s="304">
        <v>26</v>
      </c>
      <c r="B42" s="1" t="s">
        <v>99</v>
      </c>
      <c r="C42" s="6">
        <v>0</v>
      </c>
      <c r="D42" s="6">
        <v>0</v>
      </c>
      <c r="E42" s="423"/>
      <c r="F42" s="423"/>
      <c r="G42" s="423"/>
      <c r="H42" s="423"/>
      <c r="I42" s="6">
        <v>0</v>
      </c>
    </row>
    <row r="43" spans="1:15">
      <c r="A43" s="304">
        <v>27</v>
      </c>
      <c r="B43" s="1" t="s">
        <v>290</v>
      </c>
      <c r="C43" s="6">
        <f>+C42</f>
        <v>0</v>
      </c>
      <c r="D43" s="6">
        <v>0</v>
      </c>
      <c r="E43" s="6">
        <v>0</v>
      </c>
      <c r="F43" s="423"/>
      <c r="G43" s="423"/>
      <c r="H43" s="423"/>
      <c r="I43" s="6">
        <v>0</v>
      </c>
    </row>
    <row r="44" spans="1:15" ht="13.5" thickBot="1">
      <c r="A44" s="304">
        <v>28</v>
      </c>
      <c r="B44" s="7" t="s">
        <v>417</v>
      </c>
      <c r="C44" s="643">
        <f t="shared" ref="C44:I44" si="1">SUM(C31:C43)/13</f>
        <v>0</v>
      </c>
      <c r="D44" s="8">
        <f t="shared" si="1"/>
        <v>0</v>
      </c>
      <c r="E44" s="8">
        <f>(E31+E43)/2</f>
        <v>0</v>
      </c>
      <c r="F44" s="951">
        <f>'4a-ADIT Projection'!I15</f>
        <v>-1796206.44485827</v>
      </c>
      <c r="G44" s="951">
        <f>'4a-ADIT Projection'!I25</f>
        <v>-159638.84738990734</v>
      </c>
      <c r="H44" s="951">
        <f>'4a-ADIT Projection'!I35</f>
        <v>-12965.209075895764</v>
      </c>
      <c r="I44" s="8">
        <f t="shared" si="1"/>
        <v>0</v>
      </c>
    </row>
    <row r="45" spans="1:15" ht="13.5" thickTop="1">
      <c r="A45" s="304"/>
      <c r="B45" s="1"/>
      <c r="I45" s="16"/>
    </row>
    <row r="46" spans="1:15">
      <c r="A46" s="304"/>
    </row>
    <row r="47" spans="1:15">
      <c r="F47" s="20" t="s">
        <v>283</v>
      </c>
    </row>
    <row r="48" spans="1:15">
      <c r="A48" s="304"/>
      <c r="B48" s="298"/>
      <c r="C48" s="436"/>
      <c r="D48" s="436"/>
      <c r="E48" s="436"/>
      <c r="F48" s="341" t="s">
        <v>415</v>
      </c>
      <c r="G48" s="436"/>
      <c r="L48" s="14"/>
      <c r="M48" s="14"/>
      <c r="N48" s="14"/>
      <c r="O48" s="14"/>
    </row>
    <row r="49" spans="1:16">
      <c r="A49" s="304"/>
      <c r="C49" s="436"/>
      <c r="D49" s="436"/>
      <c r="E49" s="436"/>
      <c r="F49" s="139" t="s">
        <v>860</v>
      </c>
      <c r="G49" s="436"/>
      <c r="K49" s="14"/>
      <c r="L49" s="14"/>
      <c r="M49" s="14"/>
      <c r="N49" s="14"/>
      <c r="O49" s="14"/>
    </row>
    <row r="50" spans="1:16">
      <c r="A50" s="304"/>
      <c r="B50" s="298" t="s">
        <v>748</v>
      </c>
      <c r="C50" s="436"/>
      <c r="D50" s="436"/>
      <c r="E50" s="436"/>
      <c r="F50" s="139"/>
      <c r="G50" s="436"/>
      <c r="K50" s="14"/>
      <c r="L50" s="14"/>
      <c r="M50" s="14"/>
      <c r="N50" s="14"/>
      <c r="O50" s="14"/>
    </row>
    <row r="51" spans="1:16">
      <c r="A51" s="304"/>
      <c r="B51" s="298" t="s">
        <v>292</v>
      </c>
      <c r="C51" s="298" t="s">
        <v>293</v>
      </c>
      <c r="D51" s="298" t="s">
        <v>294</v>
      </c>
      <c r="E51" s="298" t="s">
        <v>295</v>
      </c>
      <c r="F51" s="298" t="s">
        <v>297</v>
      </c>
      <c r="G51" s="298" t="s">
        <v>296</v>
      </c>
      <c r="H51" s="298" t="s">
        <v>298</v>
      </c>
      <c r="I51" s="298" t="s">
        <v>299</v>
      </c>
      <c r="J51" s="299" t="s">
        <v>238</v>
      </c>
      <c r="L51" s="14"/>
      <c r="M51" s="14"/>
      <c r="N51" s="14"/>
      <c r="O51" s="14"/>
      <c r="P51" s="14"/>
    </row>
    <row r="52" spans="1:16" ht="65">
      <c r="A52" s="304">
        <v>29</v>
      </c>
      <c r="B52" s="242" t="s">
        <v>602</v>
      </c>
      <c r="C52" s="246"/>
      <c r="D52" s="437" t="s">
        <v>19</v>
      </c>
      <c r="E52" s="437" t="s">
        <v>603</v>
      </c>
      <c r="F52" s="437" t="s">
        <v>604</v>
      </c>
      <c r="G52" s="437" t="s">
        <v>605</v>
      </c>
      <c r="H52" s="438" t="s">
        <v>606</v>
      </c>
      <c r="I52" s="438" t="s">
        <v>607</v>
      </c>
      <c r="J52" s="242"/>
      <c r="K52" s="242"/>
      <c r="L52" s="242"/>
      <c r="M52" s="14"/>
      <c r="N52" s="14"/>
      <c r="O52" s="14"/>
      <c r="P52" s="14"/>
    </row>
    <row r="53" spans="1:16">
      <c r="A53" s="304" t="s">
        <v>608</v>
      </c>
      <c r="C53" s="439" t="s">
        <v>609</v>
      </c>
      <c r="D53" s="440">
        <v>0</v>
      </c>
      <c r="E53" s="440">
        <v>0</v>
      </c>
      <c r="F53" s="441"/>
      <c r="G53" s="441"/>
      <c r="H53" s="440"/>
      <c r="I53" s="442">
        <f t="shared" ref="I53:I58" si="2">+H53*E53*D53*F53*G53</f>
        <v>0</v>
      </c>
      <c r="M53" s="14"/>
      <c r="N53" s="14"/>
      <c r="O53" s="14"/>
      <c r="P53" s="14"/>
    </row>
    <row r="54" spans="1:16">
      <c r="A54" s="304" t="s">
        <v>610</v>
      </c>
      <c r="C54" s="439" t="s">
        <v>611</v>
      </c>
      <c r="D54" s="443">
        <v>0</v>
      </c>
      <c r="E54" s="440">
        <v>0</v>
      </c>
      <c r="F54" s="441"/>
      <c r="G54" s="441"/>
      <c r="H54" s="440"/>
      <c r="I54" s="442">
        <f t="shared" si="2"/>
        <v>0</v>
      </c>
      <c r="M54" s="14"/>
      <c r="N54" s="14"/>
      <c r="O54" s="14"/>
      <c r="P54" s="14"/>
    </row>
    <row r="55" spans="1:16">
      <c r="A55" s="304" t="s">
        <v>612</v>
      </c>
      <c r="C55" s="439" t="s">
        <v>613</v>
      </c>
      <c r="D55" s="443"/>
      <c r="E55" s="440"/>
      <c r="F55" s="441"/>
      <c r="G55" s="441"/>
      <c r="H55" s="440"/>
      <c r="I55" s="442">
        <f t="shared" si="2"/>
        <v>0</v>
      </c>
      <c r="M55" s="14"/>
      <c r="N55" s="14"/>
      <c r="O55" s="14"/>
      <c r="P55" s="14"/>
    </row>
    <row r="56" spans="1:16">
      <c r="A56" s="304" t="s">
        <v>614</v>
      </c>
      <c r="C56" s="439" t="s">
        <v>615</v>
      </c>
      <c r="D56" s="443"/>
      <c r="E56" s="440"/>
      <c r="F56" s="441"/>
      <c r="G56" s="441"/>
      <c r="H56" s="440"/>
      <c r="I56" s="442">
        <f t="shared" si="2"/>
        <v>0</v>
      </c>
      <c r="M56" s="14"/>
      <c r="N56" s="14"/>
      <c r="O56" s="14"/>
      <c r="P56" s="14"/>
    </row>
    <row r="57" spans="1:16">
      <c r="A57" s="304" t="s">
        <v>616</v>
      </c>
      <c r="C57" s="439" t="s">
        <v>501</v>
      </c>
      <c r="D57" s="443"/>
      <c r="E57" s="440"/>
      <c r="F57" s="441"/>
      <c r="G57" s="441"/>
      <c r="H57" s="440"/>
      <c r="I57" s="442">
        <f t="shared" si="2"/>
        <v>0</v>
      </c>
      <c r="M57" s="14"/>
      <c r="N57" s="14"/>
      <c r="O57" s="14"/>
      <c r="P57" s="14"/>
    </row>
    <row r="58" spans="1:16">
      <c r="A58" s="304" t="s">
        <v>617</v>
      </c>
      <c r="C58" s="444" t="s">
        <v>501</v>
      </c>
      <c r="D58" s="445">
        <v>0</v>
      </c>
      <c r="E58" s="446">
        <v>0</v>
      </c>
      <c r="F58" s="447"/>
      <c r="G58" s="447"/>
      <c r="H58" s="446"/>
      <c r="I58" s="448">
        <f t="shared" si="2"/>
        <v>0</v>
      </c>
      <c r="M58" s="14"/>
      <c r="N58" s="14"/>
      <c r="O58" s="14"/>
      <c r="P58" s="14"/>
    </row>
    <row r="59" spans="1:16">
      <c r="A59" s="304">
        <v>31</v>
      </c>
      <c r="C59" s="242" t="s">
        <v>21</v>
      </c>
      <c r="D59" s="449">
        <f>SUM(D53:D58)</f>
        <v>0</v>
      </c>
      <c r="E59" s="112"/>
      <c r="F59" s="14"/>
      <c r="G59" s="14"/>
      <c r="H59" s="112"/>
      <c r="I59" s="442">
        <f>SUM(I53:I58)</f>
        <v>0</v>
      </c>
      <c r="M59" s="14"/>
      <c r="N59" s="14"/>
      <c r="O59" s="14"/>
      <c r="P59" s="14"/>
    </row>
    <row r="60" spans="1:16">
      <c r="A60" s="306"/>
      <c r="B60" s="307"/>
      <c r="C60" s="308"/>
      <c r="D60" s="308"/>
      <c r="E60" s="308"/>
      <c r="F60" s="308"/>
      <c r="G60" s="308"/>
    </row>
    <row r="61" spans="1:16">
      <c r="A61" s="306"/>
      <c r="B61" s="307"/>
      <c r="C61" s="308"/>
      <c r="D61" s="308"/>
      <c r="E61" s="308"/>
      <c r="F61" s="308"/>
      <c r="G61" s="308"/>
      <c r="L61" s="14"/>
      <c r="M61" s="14"/>
      <c r="N61" s="14"/>
      <c r="O61" s="14"/>
      <c r="P61" s="14"/>
    </row>
    <row r="62" spans="1:16">
      <c r="A62" s="306"/>
      <c r="B62" s="307"/>
      <c r="C62" s="308"/>
      <c r="D62" s="308"/>
      <c r="E62" s="308"/>
      <c r="F62" s="308"/>
      <c r="G62" s="308"/>
      <c r="L62" s="14"/>
      <c r="M62" s="14"/>
      <c r="N62" s="14"/>
      <c r="O62" s="14"/>
      <c r="P62" s="14"/>
    </row>
    <row r="63" spans="1:16">
      <c r="A63" s="304" t="s">
        <v>274</v>
      </c>
    </row>
    <row r="64" spans="1:16" ht="12.75" customHeight="1">
      <c r="A64" s="304" t="s">
        <v>75</v>
      </c>
      <c r="B64" s="976" t="s">
        <v>618</v>
      </c>
      <c r="C64" s="976"/>
      <c r="D64" s="976"/>
      <c r="E64" s="976"/>
      <c r="F64" s="976"/>
      <c r="G64" s="976"/>
      <c r="H64" s="976"/>
      <c r="I64" s="976"/>
      <c r="J64" s="976"/>
      <c r="K64" s="976"/>
    </row>
    <row r="65" spans="1:12" ht="12.75" customHeight="1">
      <c r="A65" s="304" t="s">
        <v>76</v>
      </c>
      <c r="B65" s="976" t="s">
        <v>749</v>
      </c>
      <c r="C65" s="976"/>
      <c r="D65" s="976"/>
      <c r="E65" s="976"/>
      <c r="F65" s="976"/>
      <c r="G65" s="976"/>
      <c r="H65" s="976"/>
      <c r="I65" s="976"/>
      <c r="J65" s="976"/>
      <c r="K65" s="976"/>
      <c r="L65" s="299"/>
    </row>
    <row r="66" spans="1:12" ht="12.75" customHeight="1">
      <c r="A66" s="304" t="s">
        <v>77</v>
      </c>
      <c r="B66" s="15" t="s">
        <v>750</v>
      </c>
      <c r="C66" s="551"/>
      <c r="D66" s="551"/>
      <c r="E66" s="551"/>
      <c r="F66" s="551"/>
      <c r="G66" s="551"/>
      <c r="H66" s="551"/>
      <c r="I66" s="551"/>
      <c r="J66" s="551"/>
      <c r="K66" s="551"/>
    </row>
    <row r="67" spans="1:12">
      <c r="A67" s="304"/>
      <c r="B67" s="552" t="s">
        <v>751</v>
      </c>
      <c r="C67" s="520"/>
      <c r="D67" s="520"/>
      <c r="E67" s="520"/>
      <c r="F67" s="520"/>
      <c r="G67" s="520"/>
      <c r="H67" s="520"/>
      <c r="I67" s="520"/>
      <c r="J67" s="520"/>
      <c r="K67" s="520"/>
    </row>
    <row r="68" spans="1:12" ht="27.4" customHeight="1">
      <c r="A68" s="450" t="s">
        <v>78</v>
      </c>
      <c r="B68" s="972" t="s">
        <v>1097</v>
      </c>
      <c r="C68" s="972"/>
      <c r="D68" s="972"/>
      <c r="E68" s="972"/>
      <c r="F68" s="972"/>
      <c r="G68" s="972"/>
      <c r="H68" s="972"/>
      <c r="I68" s="972"/>
      <c r="J68" s="972"/>
    </row>
    <row r="69" spans="1:12" ht="28.5" customHeight="1">
      <c r="A69" s="450" t="s">
        <v>79</v>
      </c>
      <c r="B69" s="973" t="s">
        <v>752</v>
      </c>
      <c r="C69" s="973"/>
      <c r="D69" s="973"/>
      <c r="E69" s="973"/>
      <c r="F69" s="973"/>
      <c r="G69" s="973"/>
      <c r="H69" s="973"/>
      <c r="I69" s="973"/>
      <c r="J69" s="973"/>
      <c r="K69" s="349"/>
    </row>
    <row r="70" spans="1:12" ht="12.75" customHeight="1">
      <c r="A70" s="304" t="s">
        <v>80</v>
      </c>
      <c r="B70" s="977" t="s">
        <v>619</v>
      </c>
      <c r="C70" s="973"/>
      <c r="D70" s="973"/>
      <c r="E70" s="973"/>
      <c r="F70" s="973"/>
      <c r="G70" s="973"/>
      <c r="H70" s="973"/>
      <c r="I70" s="973"/>
      <c r="J70" s="973"/>
      <c r="K70" s="973"/>
    </row>
    <row r="71" spans="1:12" ht="43.5" customHeight="1">
      <c r="A71" s="450" t="s">
        <v>81</v>
      </c>
      <c r="B71" s="973" t="s">
        <v>753</v>
      </c>
      <c r="C71" s="973"/>
      <c r="D71" s="973"/>
      <c r="E71" s="973"/>
      <c r="F71" s="973"/>
      <c r="G71" s="973"/>
      <c r="H71" s="973"/>
      <c r="I71" s="973"/>
      <c r="J71" s="973"/>
      <c r="K71" s="349"/>
    </row>
    <row r="72" spans="1:12">
      <c r="A72" s="304" t="s">
        <v>83</v>
      </c>
      <c r="B72" s="553" t="s">
        <v>1069</v>
      </c>
    </row>
    <row r="75" spans="1:12">
      <c r="B75" s="27"/>
    </row>
    <row r="76" spans="1:12">
      <c r="B76" s="617"/>
    </row>
  </sheetData>
  <customSheetViews>
    <customSheetView guid="{F04A2B9A-C6FE-4FEB-AD1E-2CF9AC309BE4}" scale="85" showPageBreaks="1" printArea="1">
      <selection activeCell="E6" sqref="E6"/>
      <pageMargins left="0.7" right="0.7" top="0.75" bottom="0.75" header="0.3" footer="0.3"/>
      <pageSetup scale="55" orientation="landscape" r:id="rId1"/>
    </customSheetView>
  </customSheetViews>
  <mergeCells count="10">
    <mergeCell ref="B71:J71"/>
    <mergeCell ref="C26:I26"/>
    <mergeCell ref="I6:J6"/>
    <mergeCell ref="G6:H6"/>
    <mergeCell ref="C6:D6"/>
    <mergeCell ref="B64:K64"/>
    <mergeCell ref="B65:K65"/>
    <mergeCell ref="B70:K70"/>
    <mergeCell ref="B69:J69"/>
    <mergeCell ref="B68:J68"/>
  </mergeCells>
  <phoneticPr fontId="0" type="noConversion"/>
  <pageMargins left="0.25" right="0.25" top="0.75" bottom="0.75" header="0.3" footer="0.3"/>
  <pageSetup scale="58" fitToHeight="0" orientation="landscape" r:id="rId2"/>
  <rowBreaks count="1" manualBreakCount="1">
    <brk id="46" max="16383" man="1"/>
  </rowBreaks>
  <customProperties>
    <customPr name="_pios_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R155"/>
  <sheetViews>
    <sheetView workbookViewId="0">
      <selection sqref="A1:J1"/>
    </sheetView>
  </sheetViews>
  <sheetFormatPr defaultColWidth="8.84375" defaultRowHeight="13"/>
  <cols>
    <col min="1" max="1" width="5.69140625" style="664" customWidth="1"/>
    <col min="2" max="2" width="31.4609375" style="670" customWidth="1"/>
    <col min="3" max="3" width="10.69140625" style="664" customWidth="1"/>
    <col min="4" max="4" width="9.84375" style="664" customWidth="1"/>
    <col min="5" max="5" width="16.3046875" style="664" customWidth="1"/>
    <col min="6" max="6" width="12.07421875" style="664" customWidth="1"/>
    <col min="7" max="7" width="11.84375" style="664" customWidth="1"/>
    <col min="8" max="8" width="12" style="664" customWidth="1"/>
    <col min="9" max="9" width="17.07421875" style="664" customWidth="1"/>
    <col min="10" max="10" width="39.765625" style="664" bestFit="1" customWidth="1"/>
    <col min="11" max="11" width="8.84375" style="664"/>
    <col min="12" max="12" width="12.07421875" style="664" customWidth="1"/>
    <col min="13" max="13" width="12.84375" style="664" customWidth="1"/>
    <col min="14" max="16384" width="8.84375" style="664"/>
  </cols>
  <sheetData>
    <row r="1" spans="1:18" ht="18" customHeight="1">
      <c r="A1" s="978" t="s">
        <v>989</v>
      </c>
      <c r="B1" s="978"/>
      <c r="C1" s="978"/>
      <c r="D1" s="978"/>
      <c r="E1" s="978"/>
      <c r="F1" s="978"/>
      <c r="G1" s="978"/>
      <c r="H1" s="978"/>
      <c r="I1" s="978"/>
      <c r="J1" s="978"/>
    </row>
    <row r="2" spans="1:18" ht="18" customHeight="1">
      <c r="A2" s="978" t="str">
        <f>+'Attachment H'!D5</f>
        <v>Gridliance High Plains LLC</v>
      </c>
      <c r="B2" s="978"/>
      <c r="C2" s="978"/>
      <c r="D2" s="978"/>
      <c r="E2" s="978"/>
      <c r="F2" s="978"/>
      <c r="G2" s="978"/>
      <c r="H2" s="978"/>
      <c r="I2" s="978"/>
      <c r="J2" s="978"/>
      <c r="K2" s="665"/>
      <c r="L2" s="665"/>
      <c r="M2" s="665"/>
    </row>
    <row r="3" spans="1:18" ht="18" customHeight="1">
      <c r="A3" s="978" t="s">
        <v>1275</v>
      </c>
      <c r="B3" s="978"/>
      <c r="C3" s="978"/>
      <c r="D3" s="978"/>
      <c r="E3" s="978"/>
      <c r="F3" s="978"/>
      <c r="G3" s="978"/>
      <c r="H3" s="979"/>
      <c r="I3" s="979"/>
      <c r="J3" s="978"/>
    </row>
    <row r="4" spans="1:18" ht="18" customHeight="1">
      <c r="A4" s="666"/>
      <c r="B4" s="666"/>
      <c r="C4" s="666"/>
      <c r="D4" s="666"/>
      <c r="E4" s="666"/>
      <c r="F4" s="666"/>
      <c r="G4" s="666"/>
      <c r="H4" s="666"/>
      <c r="I4" s="666"/>
      <c r="J4" s="666"/>
    </row>
    <row r="5" spans="1:18">
      <c r="B5" s="666" t="s">
        <v>292</v>
      </c>
      <c r="C5" s="666" t="s">
        <v>293</v>
      </c>
      <c r="D5" s="666" t="s">
        <v>294</v>
      </c>
      <c r="E5" s="666" t="s">
        <v>295</v>
      </c>
      <c r="F5" s="666" t="s">
        <v>297</v>
      </c>
      <c r="G5" s="666" t="s">
        <v>296</v>
      </c>
      <c r="H5" s="666" t="s">
        <v>298</v>
      </c>
      <c r="I5" s="667" t="s">
        <v>299</v>
      </c>
      <c r="J5" s="666"/>
    </row>
    <row r="6" spans="1:18" ht="26">
      <c r="A6" s="668" t="s">
        <v>990</v>
      </c>
      <c r="B6" s="669" t="s">
        <v>991</v>
      </c>
      <c r="C6" s="669" t="s">
        <v>252</v>
      </c>
      <c r="D6" s="669" t="s">
        <v>96</v>
      </c>
      <c r="E6" s="669" t="s">
        <v>992</v>
      </c>
      <c r="F6" s="669" t="s">
        <v>993</v>
      </c>
      <c r="G6" s="669" t="s">
        <v>994</v>
      </c>
      <c r="H6" s="669" t="s">
        <v>995</v>
      </c>
      <c r="I6" s="669" t="s">
        <v>996</v>
      </c>
      <c r="J6" s="669"/>
      <c r="R6" s="666"/>
    </row>
    <row r="7" spans="1:18">
      <c r="A7" s="664" t="s">
        <v>997</v>
      </c>
      <c r="D7" s="666"/>
      <c r="E7" s="666"/>
      <c r="F7" s="666"/>
      <c r="R7" s="666"/>
    </row>
    <row r="8" spans="1:18" ht="20.149999999999999" customHeight="1">
      <c r="A8" s="671">
        <v>1</v>
      </c>
      <c r="B8" s="670" t="s">
        <v>998</v>
      </c>
      <c r="C8" s="664" t="s">
        <v>98</v>
      </c>
      <c r="D8" s="785">
        <v>2026</v>
      </c>
      <c r="E8" s="618">
        <f>SUM(F8:H8)</f>
        <v>-1718231.4627663651</v>
      </c>
      <c r="F8" s="618">
        <f>'4c- ADIT BOY'!E54</f>
        <v>-1718231.4627663651</v>
      </c>
      <c r="G8" s="618">
        <f>'4c- ADIT BOY'!F54</f>
        <v>0</v>
      </c>
      <c r="H8" s="618">
        <f>'4c- ADIT BOY'!G54</f>
        <v>0</v>
      </c>
      <c r="I8" s="618"/>
      <c r="J8" s="672"/>
    </row>
    <row r="9" spans="1:18" ht="20.149999999999999" customHeight="1">
      <c r="A9" s="671">
        <f>A8+1</f>
        <v>2</v>
      </c>
      <c r="B9" s="670" t="s">
        <v>1115</v>
      </c>
      <c r="C9" s="664" t="s">
        <v>98</v>
      </c>
      <c r="D9" s="785">
        <v>2027</v>
      </c>
      <c r="E9" s="618">
        <f t="shared" ref="E9:E11" si="0">SUM(F9:H9)</f>
        <v>0</v>
      </c>
      <c r="F9" s="618">
        <f>'4d- ADIT EOY'!E54-'4d- ADIT EOY'!E51</f>
        <v>0</v>
      </c>
      <c r="G9" s="124">
        <f>'4d- ADIT EOY'!F54-'4d- ADIT EOY'!F51</f>
        <v>0</v>
      </c>
      <c r="H9" s="124">
        <f>'4d- ADIT EOY'!G54-'4d- ADIT EOY'!G51</f>
        <v>0</v>
      </c>
      <c r="I9" s="618"/>
      <c r="J9" s="672"/>
    </row>
    <row r="10" spans="1:18" ht="20.149999999999999" customHeight="1">
      <c r="A10" s="671">
        <f>A9+1</f>
        <v>3</v>
      </c>
      <c r="B10" s="670" t="s">
        <v>1074</v>
      </c>
      <c r="C10" s="664" t="s">
        <v>98</v>
      </c>
      <c r="D10" s="785">
        <v>2027</v>
      </c>
      <c r="E10" s="618">
        <f t="shared" si="0"/>
        <v>-1796206.44485827</v>
      </c>
      <c r="F10" s="618">
        <f>'4b-ADIT Projection Proration'!H22</f>
        <v>-1796206.44485827</v>
      </c>
      <c r="G10" s="618">
        <f>'4b-ADIT Projection Proration'!J22</f>
        <v>0</v>
      </c>
      <c r="H10" s="618">
        <f>'4b-ADIT Projection Proration'!L22</f>
        <v>0</v>
      </c>
      <c r="I10" s="618"/>
      <c r="J10" s="672"/>
    </row>
    <row r="11" spans="1:18" ht="20.149999999999999" customHeight="1">
      <c r="A11" s="671">
        <f>+A10+1</f>
        <v>4</v>
      </c>
      <c r="B11" s="670" t="s">
        <v>1075</v>
      </c>
      <c r="C11" s="664" t="s">
        <v>98</v>
      </c>
      <c r="D11" s="785">
        <v>2027</v>
      </c>
      <c r="E11" s="618">
        <f t="shared" si="0"/>
        <v>-1796206.44485827</v>
      </c>
      <c r="F11" s="674">
        <f t="shared" ref="F11:H11" si="1">F9+F10</f>
        <v>-1796206.44485827</v>
      </c>
      <c r="G11" s="672">
        <f t="shared" si="1"/>
        <v>0</v>
      </c>
      <c r="H11" s="672">
        <f t="shared" si="1"/>
        <v>0</v>
      </c>
      <c r="I11" s="672"/>
      <c r="J11" s="672"/>
    </row>
    <row r="12" spans="1:18" ht="20.149999999999999" customHeight="1">
      <c r="A12" s="671">
        <f t="shared" ref="A12:A15" si="2">+A11+1</f>
        <v>5</v>
      </c>
      <c r="B12" s="670" t="s">
        <v>999</v>
      </c>
      <c r="E12" s="672"/>
      <c r="F12" s="672">
        <v>1</v>
      </c>
      <c r="G12" s="672"/>
      <c r="H12" s="672"/>
      <c r="I12" s="672"/>
      <c r="J12" s="673">
        <v>1</v>
      </c>
    </row>
    <row r="13" spans="1:18" ht="20.149999999999999" customHeight="1">
      <c r="A13" s="671">
        <f t="shared" si="2"/>
        <v>6</v>
      </c>
      <c r="B13" s="670" t="s">
        <v>1000</v>
      </c>
      <c r="E13" s="672"/>
      <c r="F13" s="672"/>
      <c r="G13" s="672">
        <f>'Attachment H'!G$84</f>
        <v>1</v>
      </c>
      <c r="H13" s="672"/>
      <c r="I13" s="672"/>
      <c r="J13" s="664" t="s">
        <v>1001</v>
      </c>
    </row>
    <row r="14" spans="1:18" ht="20.149999999999999" customHeight="1">
      <c r="A14" s="671">
        <f t="shared" si="2"/>
        <v>7</v>
      </c>
      <c r="B14" s="670" t="s">
        <v>1002</v>
      </c>
      <c r="E14" s="672"/>
      <c r="F14" s="672"/>
      <c r="G14" s="672"/>
      <c r="H14" s="672">
        <f>'Attachment H'!I$199</f>
        <v>1</v>
      </c>
      <c r="I14" s="672"/>
      <c r="J14" s="664" t="s">
        <v>1003</v>
      </c>
    </row>
    <row r="15" spans="1:18" ht="20.149999999999999" customHeight="1">
      <c r="A15" s="671">
        <f t="shared" si="2"/>
        <v>8</v>
      </c>
      <c r="B15" s="670" t="s">
        <v>1004</v>
      </c>
      <c r="E15" s="618">
        <f>+E11</f>
        <v>-1796206.44485827</v>
      </c>
      <c r="F15" s="618">
        <f>+F11*F12</f>
        <v>-1796206.44485827</v>
      </c>
      <c r="G15" s="672">
        <f>+G11*G13</f>
        <v>0</v>
      </c>
      <c r="H15" s="672">
        <f>+H11*H14</f>
        <v>0</v>
      </c>
      <c r="I15" s="672">
        <f>+F15+G15+H15</f>
        <v>-1796206.44485827</v>
      </c>
      <c r="J15" s="672" t="s">
        <v>1067</v>
      </c>
    </row>
    <row r="16" spans="1:18">
      <c r="A16" s="671"/>
      <c r="E16" s="618"/>
      <c r="F16" s="618"/>
    </row>
    <row r="17" spans="1:10">
      <c r="A17" s="664" t="s">
        <v>1005</v>
      </c>
      <c r="E17" s="618"/>
      <c r="F17" s="618"/>
    </row>
    <row r="18" spans="1:10" ht="20.149999999999999" customHeight="1">
      <c r="A18" s="671">
        <f>A15+1</f>
        <v>9</v>
      </c>
      <c r="B18" s="670" t="s">
        <v>1006</v>
      </c>
      <c r="C18" s="664" t="s">
        <v>98</v>
      </c>
      <c r="D18" s="785">
        <f>D8</f>
        <v>2026</v>
      </c>
      <c r="E18" s="618">
        <f t="shared" ref="E18:E21" si="3">SUM(F18:H18)</f>
        <v>-159638.84738990734</v>
      </c>
      <c r="F18" s="674">
        <f>'4c- ADIT BOY'!E78</f>
        <v>-159638.84738990734</v>
      </c>
      <c r="G18" s="618">
        <f>'4c- ADIT BOY'!F78</f>
        <v>0</v>
      </c>
      <c r="H18" s="618">
        <f>'4c- ADIT BOY'!G78</f>
        <v>0</v>
      </c>
      <c r="I18" s="618"/>
      <c r="J18" s="672"/>
    </row>
    <row r="19" spans="1:10" ht="20.149999999999999" customHeight="1">
      <c r="A19" s="671">
        <f>A18+1</f>
        <v>10</v>
      </c>
      <c r="B19" s="670" t="s">
        <v>1116</v>
      </c>
      <c r="C19" s="664" t="s">
        <v>98</v>
      </c>
      <c r="D19" s="785">
        <f t="shared" ref="D19:D21" si="4">D9</f>
        <v>2027</v>
      </c>
      <c r="E19" s="124">
        <f t="shared" si="3"/>
        <v>0</v>
      </c>
      <c r="F19" s="618">
        <f>'4d- ADIT EOY'!E78-'4d- ADIT EOY'!E75</f>
        <v>0</v>
      </c>
      <c r="G19" s="618">
        <f>'4d- ADIT EOY'!F78-'4d- ADIT EOY'!F75</f>
        <v>0</v>
      </c>
      <c r="H19" s="618">
        <f>'4d- ADIT EOY'!G78-'4d- ADIT EOY'!G75</f>
        <v>0</v>
      </c>
      <c r="I19" s="618"/>
      <c r="J19" s="672"/>
    </row>
    <row r="20" spans="1:10" ht="20.149999999999999" customHeight="1">
      <c r="A20" s="671">
        <f>A19+1</f>
        <v>11</v>
      </c>
      <c r="B20" s="670" t="s">
        <v>1078</v>
      </c>
      <c r="C20" s="664" t="s">
        <v>98</v>
      </c>
      <c r="D20" s="785">
        <f t="shared" si="4"/>
        <v>2027</v>
      </c>
      <c r="E20" s="124">
        <f t="shared" si="3"/>
        <v>-159638.84738990734</v>
      </c>
      <c r="F20" s="618">
        <f>'4b-ADIT Projection Proration'!H38</f>
        <v>-159638.84738990734</v>
      </c>
      <c r="G20" s="618">
        <f>'4b-ADIT Projection Proration'!J38</f>
        <v>0</v>
      </c>
      <c r="H20" s="618">
        <f>'4b-ADIT Projection Proration'!L38</f>
        <v>0</v>
      </c>
      <c r="I20" s="618"/>
      <c r="J20" s="672"/>
    </row>
    <row r="21" spans="1:10" ht="20.149999999999999" customHeight="1">
      <c r="A21" s="671">
        <f>A20+1</f>
        <v>12</v>
      </c>
      <c r="B21" s="670" t="s">
        <v>1076</v>
      </c>
      <c r="C21" s="664" t="s">
        <v>98</v>
      </c>
      <c r="D21" s="785">
        <f t="shared" si="4"/>
        <v>2027</v>
      </c>
      <c r="E21" s="124">
        <f t="shared" si="3"/>
        <v>-159638.84738990734</v>
      </c>
      <c r="F21" s="618">
        <f>F19+F20</f>
        <v>-159638.84738990734</v>
      </c>
      <c r="G21" s="618">
        <f>G19+G20</f>
        <v>0</v>
      </c>
      <c r="H21" s="618">
        <f>H19+H20</f>
        <v>0</v>
      </c>
      <c r="I21" s="618"/>
      <c r="J21" s="672"/>
    </row>
    <row r="22" spans="1:10" ht="20.149999999999999" customHeight="1">
      <c r="A22" s="671">
        <f t="shared" ref="A22:A25" si="5">A21+1</f>
        <v>13</v>
      </c>
      <c r="B22" s="670" t="s">
        <v>999</v>
      </c>
      <c r="E22" s="672"/>
      <c r="F22" s="672">
        <v>1</v>
      </c>
      <c r="G22" s="672"/>
      <c r="H22" s="672"/>
      <c r="I22" s="672"/>
      <c r="J22" s="673">
        <v>1</v>
      </c>
    </row>
    <row r="23" spans="1:10" ht="20.149999999999999" customHeight="1">
      <c r="A23" s="671">
        <f t="shared" si="5"/>
        <v>14</v>
      </c>
      <c r="B23" s="670" t="s">
        <v>1000</v>
      </c>
      <c r="E23" s="672"/>
      <c r="F23" s="672"/>
      <c r="G23" s="672">
        <f>'Attachment H'!G$84</f>
        <v>1</v>
      </c>
      <c r="H23" s="672"/>
      <c r="I23" s="672"/>
      <c r="J23" s="664" t="s">
        <v>1001</v>
      </c>
    </row>
    <row r="24" spans="1:10" ht="20.149999999999999" customHeight="1">
      <c r="A24" s="671">
        <f t="shared" si="5"/>
        <v>15</v>
      </c>
      <c r="B24" s="670" t="s">
        <v>1002</v>
      </c>
      <c r="E24" s="672"/>
      <c r="F24" s="672"/>
      <c r="G24" s="672"/>
      <c r="H24" s="672">
        <f>'Attachment H'!I$199</f>
        <v>1</v>
      </c>
      <c r="I24" s="672"/>
      <c r="J24" s="664" t="s">
        <v>1003</v>
      </c>
    </row>
    <row r="25" spans="1:10" ht="20.149999999999999" customHeight="1">
      <c r="A25" s="671">
        <f t="shared" si="5"/>
        <v>16</v>
      </c>
      <c r="B25" s="670" t="s">
        <v>1004</v>
      </c>
      <c r="E25" s="674">
        <f>E21</f>
        <v>-159638.84738990734</v>
      </c>
      <c r="F25" s="674">
        <f>+F21*F22</f>
        <v>-159638.84738990734</v>
      </c>
      <c r="G25" s="672">
        <f>+G21*G23</f>
        <v>0</v>
      </c>
      <c r="H25" s="672">
        <f>+H21*H24</f>
        <v>0</v>
      </c>
      <c r="I25" s="672">
        <f>+F25+G25+H25</f>
        <v>-159638.84738990734</v>
      </c>
      <c r="J25" s="672" t="s">
        <v>1067</v>
      </c>
    </row>
    <row r="26" spans="1:10">
      <c r="A26" s="671"/>
    </row>
    <row r="27" spans="1:10">
      <c r="A27" s="664" t="s">
        <v>1007</v>
      </c>
    </row>
    <row r="28" spans="1:10" ht="20.149999999999999" customHeight="1">
      <c r="A28" s="671">
        <f>A25+1</f>
        <v>17</v>
      </c>
      <c r="B28" s="670" t="s">
        <v>1008</v>
      </c>
      <c r="C28" s="664" t="s">
        <v>98</v>
      </c>
      <c r="D28" s="785">
        <f>D18</f>
        <v>2026</v>
      </c>
      <c r="E28" s="618">
        <f t="shared" ref="E28:E31" si="6">SUM(F28:H28)</f>
        <v>-12723.165763105524</v>
      </c>
      <c r="F28" s="618">
        <f>'4c- ADIT BOY'!E32</f>
        <v>-12723.165763105524</v>
      </c>
      <c r="G28" s="618">
        <f>'4c- ADIT BOY'!F32</f>
        <v>0</v>
      </c>
      <c r="H28" s="618">
        <f>'4c- ADIT BOY'!G32</f>
        <v>0</v>
      </c>
      <c r="I28" s="618"/>
      <c r="J28" s="672"/>
    </row>
    <row r="29" spans="1:10" ht="20.149999999999999" customHeight="1">
      <c r="A29" s="671">
        <f>A28+1</f>
        <v>18</v>
      </c>
      <c r="B29" s="670" t="s">
        <v>1117</v>
      </c>
      <c r="C29" s="664" t="s">
        <v>98</v>
      </c>
      <c r="D29" s="785">
        <f t="shared" ref="D29:D31" si="7">D19</f>
        <v>2027</v>
      </c>
      <c r="E29" s="618">
        <f t="shared" si="6"/>
        <v>0</v>
      </c>
      <c r="F29" s="618">
        <f>'4d- ADIT EOY'!E32-'4d- ADIT EOY'!E29</f>
        <v>0</v>
      </c>
      <c r="G29" s="618">
        <f>'4d- ADIT EOY'!F32-'4d- ADIT EOY'!F29</f>
        <v>0</v>
      </c>
      <c r="H29" s="618">
        <f>'4d- ADIT EOY'!G32-'4d- ADIT EOY'!G29</f>
        <v>0</v>
      </c>
      <c r="I29" s="618"/>
      <c r="J29" s="672"/>
    </row>
    <row r="30" spans="1:10" ht="20.149999999999999" customHeight="1">
      <c r="A30" s="671">
        <f>A29+1</f>
        <v>19</v>
      </c>
      <c r="B30" s="670" t="s">
        <v>1079</v>
      </c>
      <c r="C30" s="664" t="s">
        <v>98</v>
      </c>
      <c r="D30" s="785">
        <f t="shared" si="7"/>
        <v>2027</v>
      </c>
      <c r="E30" s="618">
        <f t="shared" si="6"/>
        <v>-12965.209075895764</v>
      </c>
      <c r="F30" s="618">
        <f>'4b-ADIT Projection Proration'!H54</f>
        <v>-12965.209075895764</v>
      </c>
      <c r="G30" s="618">
        <f>'4b-ADIT Projection Proration'!J54</f>
        <v>0</v>
      </c>
      <c r="H30" s="618">
        <f>'4b-ADIT Projection Proration'!L54</f>
        <v>0</v>
      </c>
      <c r="I30" s="618"/>
      <c r="J30" s="672"/>
    </row>
    <row r="31" spans="1:10" ht="20.149999999999999" customHeight="1">
      <c r="A31" s="671">
        <f>A30+1</f>
        <v>20</v>
      </c>
      <c r="B31" s="670" t="s">
        <v>1077</v>
      </c>
      <c r="C31" s="664" t="s">
        <v>98</v>
      </c>
      <c r="D31" s="785">
        <f t="shared" si="7"/>
        <v>2027</v>
      </c>
      <c r="E31" s="618">
        <f t="shared" si="6"/>
        <v>-12965.209075895764</v>
      </c>
      <c r="F31" s="674">
        <f>F29+F30</f>
        <v>-12965.209075895764</v>
      </c>
      <c r="G31" s="618">
        <f>G29+G30</f>
        <v>0</v>
      </c>
      <c r="H31" s="618">
        <f>H29+H30</f>
        <v>0</v>
      </c>
      <c r="I31" s="618"/>
      <c r="J31" s="672"/>
    </row>
    <row r="32" spans="1:10" ht="20.149999999999999" customHeight="1">
      <c r="A32" s="671">
        <f t="shared" ref="A32:A35" si="8">A31+1</f>
        <v>21</v>
      </c>
      <c r="B32" s="670" t="s">
        <v>999</v>
      </c>
      <c r="E32" s="672"/>
      <c r="F32" s="672">
        <v>1</v>
      </c>
      <c r="G32" s="672"/>
      <c r="H32" s="672"/>
      <c r="I32" s="672"/>
      <c r="J32" s="673">
        <v>1</v>
      </c>
    </row>
    <row r="33" spans="1:10" ht="20.149999999999999" customHeight="1">
      <c r="A33" s="671">
        <f t="shared" si="8"/>
        <v>22</v>
      </c>
      <c r="B33" s="670" t="s">
        <v>1000</v>
      </c>
      <c r="E33" s="672"/>
      <c r="F33" s="672"/>
      <c r="G33" s="672">
        <f>'Attachment H'!G$84</f>
        <v>1</v>
      </c>
      <c r="H33" s="672"/>
      <c r="I33" s="672"/>
      <c r="J33" s="664" t="s">
        <v>1001</v>
      </c>
    </row>
    <row r="34" spans="1:10" ht="20.149999999999999" customHeight="1">
      <c r="A34" s="671">
        <f t="shared" si="8"/>
        <v>23</v>
      </c>
      <c r="B34" s="670" t="s">
        <v>1002</v>
      </c>
      <c r="E34" s="672"/>
      <c r="F34" s="672"/>
      <c r="G34" s="672"/>
      <c r="H34" s="672">
        <f>'Attachment H'!I$199</f>
        <v>1</v>
      </c>
      <c r="I34" s="672"/>
      <c r="J34" s="664" t="s">
        <v>1003</v>
      </c>
    </row>
    <row r="35" spans="1:10" ht="20.149999999999999" customHeight="1">
      <c r="A35" s="671">
        <f t="shared" si="8"/>
        <v>24</v>
      </c>
      <c r="B35" s="670" t="s">
        <v>1004</v>
      </c>
      <c r="E35" s="674">
        <f>E31</f>
        <v>-12965.209075895764</v>
      </c>
      <c r="F35" s="674">
        <f>+F31*F32</f>
        <v>-12965.209075895764</v>
      </c>
      <c r="G35" s="672">
        <f>+G31*G33</f>
        <v>0</v>
      </c>
      <c r="H35" s="672">
        <f>+H31*H34</f>
        <v>0</v>
      </c>
      <c r="I35" s="672">
        <f>+F35+G35+H35</f>
        <v>-12965.209075895764</v>
      </c>
      <c r="J35" s="672" t="s">
        <v>1067</v>
      </c>
    </row>
    <row r="36" spans="1:10">
      <c r="B36" s="664"/>
    </row>
    <row r="37" spans="1:10">
      <c r="B37" s="664"/>
      <c r="D37" s="675"/>
      <c r="E37" s="675"/>
      <c r="F37" s="675"/>
      <c r="G37" s="675"/>
      <c r="H37" s="676"/>
      <c r="I37" s="676"/>
    </row>
    <row r="38" spans="1:10">
      <c r="D38" s="666"/>
    </row>
    <row r="39" spans="1:10">
      <c r="D39" s="449"/>
    </row>
    <row r="40" spans="1:10">
      <c r="D40" s="449"/>
    </row>
    <row r="41" spans="1:10">
      <c r="D41" s="449"/>
    </row>
    <row r="42" spans="1:10">
      <c r="D42" s="449"/>
    </row>
    <row r="43" spans="1:10">
      <c r="D43" s="449"/>
    </row>
    <row r="44" spans="1:10">
      <c r="D44" s="449"/>
    </row>
    <row r="45" spans="1:10">
      <c r="D45" s="449"/>
    </row>
    <row r="46" spans="1:10">
      <c r="D46" s="449"/>
    </row>
    <row r="47" spans="1:10">
      <c r="D47" s="449"/>
    </row>
    <row r="48" spans="1:10">
      <c r="D48" s="449"/>
    </row>
    <row r="49" spans="2:4">
      <c r="B49" s="664"/>
      <c r="D49" s="449"/>
    </row>
    <row r="50" spans="2:4">
      <c r="D50" s="449"/>
    </row>
    <row r="51" spans="2:4">
      <c r="B51" s="664"/>
      <c r="D51" s="449"/>
    </row>
    <row r="155" spans="8:9">
      <c r="H155" s="677"/>
      <c r="I155" s="677"/>
    </row>
  </sheetData>
  <mergeCells count="3">
    <mergeCell ref="A1:J1"/>
    <mergeCell ref="A2:J2"/>
    <mergeCell ref="A3:J3"/>
  </mergeCells>
  <printOptions horizontalCentered="1"/>
  <pageMargins left="0.25" right="0.25" top="0.75" bottom="0.75" header="0.3" footer="0.3"/>
  <pageSetup scale="14" orientation="landscape"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T178"/>
  <sheetViews>
    <sheetView workbookViewId="0">
      <selection sqref="A1:L1"/>
    </sheetView>
  </sheetViews>
  <sheetFormatPr defaultColWidth="8.84375" defaultRowHeight="13"/>
  <cols>
    <col min="1" max="1" width="5.69140625" style="679" customWidth="1"/>
    <col min="2" max="2" width="31.07421875" style="680" customWidth="1"/>
    <col min="3" max="3" width="10.69140625" style="679" customWidth="1"/>
    <col min="4" max="4" width="9.84375" style="679" customWidth="1"/>
    <col min="5" max="5" width="10" style="679" customWidth="1"/>
    <col min="6" max="6" width="14.84375" style="679" customWidth="1"/>
    <col min="7" max="7" width="12.07421875" style="679" customWidth="1"/>
    <col min="8" max="8" width="11.84375" style="679" customWidth="1"/>
    <col min="9" max="9" width="12" style="678" customWidth="1"/>
    <col min="10" max="10" width="15.84375" style="678" customWidth="1"/>
    <col min="11" max="11" width="8.84375" style="678"/>
    <col min="12" max="12" width="12.07421875" style="678" customWidth="1"/>
    <col min="13" max="13" width="44.84375" style="678" customWidth="1"/>
    <col min="14" max="16384" width="8.84375" style="678"/>
  </cols>
  <sheetData>
    <row r="1" spans="1:20" ht="18" customHeight="1">
      <c r="A1" s="980" t="s">
        <v>1009</v>
      </c>
      <c r="B1" s="980"/>
      <c r="C1" s="980"/>
      <c r="D1" s="980"/>
      <c r="E1" s="980"/>
      <c r="F1" s="980"/>
      <c r="G1" s="980"/>
      <c r="H1" s="980"/>
      <c r="I1" s="980"/>
      <c r="J1" s="980"/>
      <c r="K1" s="980"/>
      <c r="L1" s="980"/>
    </row>
    <row r="2" spans="1:20" ht="18" customHeight="1">
      <c r="A2" s="980" t="str">
        <f>+'4a-ADIT Projection'!A2:J2</f>
        <v>Gridliance High Plains LLC</v>
      </c>
      <c r="B2" s="980"/>
      <c r="C2" s="980"/>
      <c r="D2" s="980"/>
      <c r="E2" s="980"/>
      <c r="F2" s="980"/>
      <c r="G2" s="980"/>
      <c r="H2" s="980"/>
      <c r="I2" s="980"/>
      <c r="J2" s="980"/>
      <c r="K2" s="980"/>
      <c r="L2" s="980"/>
    </row>
    <row r="3" spans="1:20" ht="18" customHeight="1">
      <c r="A3" s="980" t="s">
        <v>1275</v>
      </c>
      <c r="B3" s="980"/>
      <c r="C3" s="980"/>
      <c r="D3" s="980"/>
      <c r="E3" s="980"/>
      <c r="F3" s="980"/>
      <c r="G3" s="980"/>
      <c r="H3" s="981"/>
      <c r="I3" s="980"/>
      <c r="J3" s="980"/>
      <c r="K3" s="980"/>
      <c r="L3" s="980"/>
    </row>
    <row r="5" spans="1:20">
      <c r="D5" s="678"/>
      <c r="E5" s="678"/>
      <c r="F5" s="678"/>
      <c r="G5" s="678"/>
      <c r="H5" s="678"/>
      <c r="J5" s="679"/>
      <c r="T5" s="681"/>
    </row>
    <row r="6" spans="1:20">
      <c r="B6" s="682" t="s">
        <v>292</v>
      </c>
      <c r="C6" s="682" t="s">
        <v>293</v>
      </c>
      <c r="D6" s="682" t="s">
        <v>294</v>
      </c>
      <c r="E6" s="682" t="s">
        <v>295</v>
      </c>
      <c r="F6" s="682" t="s">
        <v>297</v>
      </c>
      <c r="G6" s="682" t="s">
        <v>296</v>
      </c>
      <c r="H6" s="682" t="s">
        <v>298</v>
      </c>
      <c r="I6" s="681" t="s">
        <v>299</v>
      </c>
      <c r="J6" s="681" t="s">
        <v>300</v>
      </c>
      <c r="K6" s="681" t="s">
        <v>393</v>
      </c>
      <c r="L6" s="681" t="s">
        <v>397</v>
      </c>
    </row>
    <row r="7" spans="1:20" ht="39">
      <c r="A7" s="683"/>
      <c r="B7" s="684" t="s">
        <v>991</v>
      </c>
      <c r="C7" s="684" t="s">
        <v>252</v>
      </c>
      <c r="D7" s="684" t="s">
        <v>96</v>
      </c>
      <c r="E7" s="684" t="s">
        <v>1010</v>
      </c>
      <c r="F7" s="684" t="s">
        <v>1011</v>
      </c>
      <c r="G7" s="684" t="s">
        <v>25</v>
      </c>
      <c r="H7" s="684" t="s">
        <v>1012</v>
      </c>
      <c r="I7" s="684" t="s">
        <v>994</v>
      </c>
      <c r="J7" s="684" t="s">
        <v>1013</v>
      </c>
      <c r="K7" s="684" t="s">
        <v>995</v>
      </c>
      <c r="L7" s="684" t="s">
        <v>1014</v>
      </c>
      <c r="T7" s="681"/>
    </row>
    <row r="8" spans="1:20">
      <c r="A8" s="679" t="s">
        <v>1015</v>
      </c>
      <c r="D8" s="682"/>
      <c r="E8" s="682"/>
      <c r="F8" s="682"/>
      <c r="G8" s="682"/>
      <c r="L8" s="685"/>
      <c r="T8" s="681"/>
    </row>
    <row r="9" spans="1:20" ht="20.149999999999999" customHeight="1">
      <c r="A9" s="686">
        <v>1</v>
      </c>
      <c r="B9" s="680" t="s">
        <v>1016</v>
      </c>
      <c r="C9" s="679" t="s">
        <v>98</v>
      </c>
      <c r="D9" s="786">
        <v>2026</v>
      </c>
      <c r="E9" s="687">
        <f>365/365</f>
        <v>1</v>
      </c>
      <c r="F9" s="688">
        <f>'4c- ADIT BOY'!C54</f>
        <v>-1718231.4627663651</v>
      </c>
      <c r="G9" s="688">
        <f>'4c- ADIT BOY'!E54</f>
        <v>-1718231.4627663651</v>
      </c>
      <c r="H9" s="689">
        <f t="shared" ref="H9:H21" si="0">E9*G9</f>
        <v>-1718231.4627663651</v>
      </c>
      <c r="I9" s="690">
        <f>'4c- ADIT BOY'!F54</f>
        <v>0</v>
      </c>
      <c r="J9" s="691">
        <f t="shared" ref="J9:J21" si="1">I9*E9</f>
        <v>0</v>
      </c>
      <c r="K9" s="690">
        <f>'4c- ADIT BOY'!G54</f>
        <v>0</v>
      </c>
      <c r="L9" s="691">
        <f t="shared" ref="L9:L21" si="2">E9*K9</f>
        <v>0</v>
      </c>
    </row>
    <row r="10" spans="1:20" ht="20.149999999999999" customHeight="1">
      <c r="A10" s="686">
        <f t="shared" ref="A10:A22" si="3">+A9+1</f>
        <v>2</v>
      </c>
      <c r="B10" s="680" t="s">
        <v>1017</v>
      </c>
      <c r="C10" s="679" t="s">
        <v>105</v>
      </c>
      <c r="D10" s="786">
        <v>2027</v>
      </c>
      <c r="E10" s="687">
        <f>335/365</f>
        <v>0.9178082191780822</v>
      </c>
      <c r="F10" s="694">
        <f>-('4c- ADIT BOY'!E50-'4d- ADIT EOY'!E50)/12</f>
        <v>-14027.042121017914</v>
      </c>
      <c r="G10" s="694">
        <f>F10</f>
        <v>-14027.042121017914</v>
      </c>
      <c r="H10" s="689">
        <f t="shared" si="0"/>
        <v>-12874.134549427401</v>
      </c>
      <c r="I10" s="693">
        <v>0</v>
      </c>
      <c r="J10" s="691">
        <f t="shared" si="1"/>
        <v>0</v>
      </c>
      <c r="K10" s="693">
        <v>0</v>
      </c>
      <c r="L10" s="691">
        <f t="shared" si="2"/>
        <v>0</v>
      </c>
    </row>
    <row r="11" spans="1:20" ht="20.149999999999999" customHeight="1">
      <c r="A11" s="686">
        <f t="shared" si="3"/>
        <v>3</v>
      </c>
      <c r="B11" s="680" t="s">
        <v>1017</v>
      </c>
      <c r="C11" s="679" t="s">
        <v>104</v>
      </c>
      <c r="D11" s="786">
        <v>2027</v>
      </c>
      <c r="E11" s="687">
        <f>307/365</f>
        <v>0.84109589041095889</v>
      </c>
      <c r="F11" s="694">
        <f>F10</f>
        <v>-14027.042121017914</v>
      </c>
      <c r="G11" s="694">
        <f t="shared" ref="G11:G21" si="4">F11</f>
        <v>-14027.042121017914</v>
      </c>
      <c r="H11" s="689">
        <f t="shared" si="0"/>
        <v>-11798.087482609588</v>
      </c>
      <c r="I11" s="693">
        <v>0</v>
      </c>
      <c r="J11" s="691">
        <f t="shared" si="1"/>
        <v>0</v>
      </c>
      <c r="K11" s="693">
        <v>0</v>
      </c>
      <c r="L11" s="691">
        <f t="shared" si="2"/>
        <v>0</v>
      </c>
    </row>
    <row r="12" spans="1:20" ht="20.149999999999999" customHeight="1">
      <c r="A12" s="686">
        <f t="shared" si="3"/>
        <v>4</v>
      </c>
      <c r="B12" s="680" t="s">
        <v>1017</v>
      </c>
      <c r="C12" s="679" t="s">
        <v>103</v>
      </c>
      <c r="D12" s="786">
        <v>2027</v>
      </c>
      <c r="E12" s="687">
        <f>276/365</f>
        <v>0.75616438356164384</v>
      </c>
      <c r="F12" s="694">
        <f t="shared" ref="F12:F21" si="5">F11</f>
        <v>-14027.042121017914</v>
      </c>
      <c r="G12" s="694">
        <f t="shared" si="4"/>
        <v>-14027.042121017914</v>
      </c>
      <c r="H12" s="695">
        <f t="shared" si="0"/>
        <v>-10606.749658632723</v>
      </c>
      <c r="I12" s="693">
        <v>0</v>
      </c>
      <c r="J12" s="691">
        <f t="shared" si="1"/>
        <v>0</v>
      </c>
      <c r="K12" s="693">
        <v>0</v>
      </c>
      <c r="L12" s="691">
        <f t="shared" si="2"/>
        <v>0</v>
      </c>
    </row>
    <row r="13" spans="1:20" ht="20.149999999999999" customHeight="1">
      <c r="A13" s="686">
        <f t="shared" si="3"/>
        <v>5</v>
      </c>
      <c r="B13" s="680" t="s">
        <v>1017</v>
      </c>
      <c r="C13" s="679" t="s">
        <v>95</v>
      </c>
      <c r="D13" s="786">
        <v>2027</v>
      </c>
      <c r="E13" s="687">
        <f>246/365</f>
        <v>0.67397260273972603</v>
      </c>
      <c r="F13" s="694">
        <f t="shared" si="5"/>
        <v>-14027.042121017914</v>
      </c>
      <c r="G13" s="694">
        <f t="shared" si="4"/>
        <v>-14027.042121017914</v>
      </c>
      <c r="H13" s="695">
        <f t="shared" si="0"/>
        <v>-9453.8420870422106</v>
      </c>
      <c r="I13" s="693">
        <v>0</v>
      </c>
      <c r="J13" s="691">
        <f t="shared" si="1"/>
        <v>0</v>
      </c>
      <c r="K13" s="693">
        <v>0</v>
      </c>
      <c r="L13" s="691">
        <f t="shared" si="2"/>
        <v>0</v>
      </c>
    </row>
    <row r="14" spans="1:20" ht="20.149999999999999" customHeight="1">
      <c r="A14" s="686">
        <f t="shared" si="3"/>
        <v>6</v>
      </c>
      <c r="B14" s="680" t="s">
        <v>1017</v>
      </c>
      <c r="C14" s="679" t="s">
        <v>92</v>
      </c>
      <c r="D14" s="786">
        <v>2027</v>
      </c>
      <c r="E14" s="687">
        <f>215/365</f>
        <v>0.58904109589041098</v>
      </c>
      <c r="F14" s="694">
        <f t="shared" si="5"/>
        <v>-14027.042121017914</v>
      </c>
      <c r="G14" s="694">
        <f t="shared" si="4"/>
        <v>-14027.042121017914</v>
      </c>
      <c r="H14" s="695">
        <f t="shared" si="0"/>
        <v>-8262.5042630653461</v>
      </c>
      <c r="I14" s="693">
        <v>0</v>
      </c>
      <c r="J14" s="691">
        <f t="shared" si="1"/>
        <v>0</v>
      </c>
      <c r="K14" s="693">
        <v>0</v>
      </c>
      <c r="L14" s="691">
        <f t="shared" si="2"/>
        <v>0</v>
      </c>
    </row>
    <row r="15" spans="1:20" ht="20.149999999999999" customHeight="1">
      <c r="A15" s="686">
        <f t="shared" si="3"/>
        <v>7</v>
      </c>
      <c r="B15" s="680" t="s">
        <v>1017</v>
      </c>
      <c r="C15" s="679" t="s">
        <v>145</v>
      </c>
      <c r="D15" s="786">
        <v>2027</v>
      </c>
      <c r="E15" s="687">
        <f>185/365</f>
        <v>0.50684931506849318</v>
      </c>
      <c r="F15" s="694">
        <f t="shared" si="5"/>
        <v>-14027.042121017914</v>
      </c>
      <c r="G15" s="694">
        <f t="shared" si="4"/>
        <v>-14027.042121017914</v>
      </c>
      <c r="H15" s="695">
        <f t="shared" si="0"/>
        <v>-7109.5966914748333</v>
      </c>
      <c r="I15" s="693">
        <v>0</v>
      </c>
      <c r="J15" s="691">
        <f t="shared" si="1"/>
        <v>0</v>
      </c>
      <c r="K15" s="693">
        <v>0</v>
      </c>
      <c r="L15" s="691">
        <f t="shared" si="2"/>
        <v>0</v>
      </c>
    </row>
    <row r="16" spans="1:20" ht="20.149999999999999" customHeight="1">
      <c r="A16" s="686">
        <f t="shared" si="3"/>
        <v>8</v>
      </c>
      <c r="B16" s="680" t="s">
        <v>1017</v>
      </c>
      <c r="C16" s="679" t="s">
        <v>102</v>
      </c>
      <c r="D16" s="786">
        <v>2027</v>
      </c>
      <c r="E16" s="687">
        <f>154/365</f>
        <v>0.42191780821917807</v>
      </c>
      <c r="F16" s="694">
        <f t="shared" si="5"/>
        <v>-14027.042121017914</v>
      </c>
      <c r="G16" s="694">
        <f t="shared" si="4"/>
        <v>-14027.042121017914</v>
      </c>
      <c r="H16" s="695">
        <f t="shared" si="0"/>
        <v>-5918.2588674979688</v>
      </c>
      <c r="I16" s="693">
        <v>0</v>
      </c>
      <c r="J16" s="691">
        <f t="shared" si="1"/>
        <v>0</v>
      </c>
      <c r="K16" s="693">
        <v>0</v>
      </c>
      <c r="L16" s="691">
        <f t="shared" si="2"/>
        <v>0</v>
      </c>
    </row>
    <row r="17" spans="1:20" ht="20.149999999999999" customHeight="1">
      <c r="A17" s="686">
        <f t="shared" si="3"/>
        <v>9</v>
      </c>
      <c r="B17" s="680" t="s">
        <v>1017</v>
      </c>
      <c r="C17" s="679" t="s">
        <v>101</v>
      </c>
      <c r="D17" s="786">
        <v>2027</v>
      </c>
      <c r="E17" s="687">
        <f>123/365</f>
        <v>0.33698630136986302</v>
      </c>
      <c r="F17" s="694">
        <f t="shared" si="5"/>
        <v>-14027.042121017914</v>
      </c>
      <c r="G17" s="694">
        <f t="shared" si="4"/>
        <v>-14027.042121017914</v>
      </c>
      <c r="H17" s="695">
        <f t="shared" si="0"/>
        <v>-4726.9210435211053</v>
      </c>
      <c r="I17" s="693">
        <v>0</v>
      </c>
      <c r="J17" s="691">
        <f t="shared" si="1"/>
        <v>0</v>
      </c>
      <c r="K17" s="693">
        <v>0</v>
      </c>
      <c r="L17" s="691">
        <f t="shared" si="2"/>
        <v>0</v>
      </c>
    </row>
    <row r="18" spans="1:20" ht="20.149999999999999" customHeight="1">
      <c r="A18" s="686">
        <f t="shared" si="3"/>
        <v>10</v>
      </c>
      <c r="B18" s="680" t="s">
        <v>1017</v>
      </c>
      <c r="C18" s="679" t="s">
        <v>100</v>
      </c>
      <c r="D18" s="786">
        <v>2027</v>
      </c>
      <c r="E18" s="687">
        <f>93/365</f>
        <v>0.25479452054794521</v>
      </c>
      <c r="F18" s="694">
        <f t="shared" si="5"/>
        <v>-14027.042121017914</v>
      </c>
      <c r="G18" s="694">
        <f t="shared" si="4"/>
        <v>-14027.042121017914</v>
      </c>
      <c r="H18" s="695">
        <f t="shared" si="0"/>
        <v>-3574.013471930592</v>
      </c>
      <c r="I18" s="693">
        <v>0</v>
      </c>
      <c r="J18" s="691">
        <f t="shared" si="1"/>
        <v>0</v>
      </c>
      <c r="K18" s="693">
        <v>0</v>
      </c>
      <c r="L18" s="691">
        <f t="shared" si="2"/>
        <v>0</v>
      </c>
    </row>
    <row r="19" spans="1:20" ht="20.149999999999999" customHeight="1">
      <c r="A19" s="686">
        <f t="shared" si="3"/>
        <v>11</v>
      </c>
      <c r="B19" s="680" t="s">
        <v>1017</v>
      </c>
      <c r="C19" s="679" t="s">
        <v>106</v>
      </c>
      <c r="D19" s="786">
        <v>2027</v>
      </c>
      <c r="E19" s="687">
        <f>62/365</f>
        <v>0.16986301369863013</v>
      </c>
      <c r="F19" s="694">
        <f t="shared" si="5"/>
        <v>-14027.042121017914</v>
      </c>
      <c r="G19" s="694">
        <f t="shared" si="4"/>
        <v>-14027.042121017914</v>
      </c>
      <c r="H19" s="695">
        <f t="shared" si="0"/>
        <v>-2382.6756479537275</v>
      </c>
      <c r="I19" s="693">
        <v>0</v>
      </c>
      <c r="J19" s="691">
        <f t="shared" si="1"/>
        <v>0</v>
      </c>
      <c r="K19" s="693">
        <v>0</v>
      </c>
      <c r="L19" s="691">
        <f t="shared" si="2"/>
        <v>0</v>
      </c>
    </row>
    <row r="20" spans="1:20" ht="20.149999999999999" customHeight="1">
      <c r="A20" s="686">
        <f t="shared" si="3"/>
        <v>12</v>
      </c>
      <c r="B20" s="680" t="s">
        <v>1017</v>
      </c>
      <c r="C20" s="679" t="s">
        <v>99</v>
      </c>
      <c r="D20" s="786">
        <v>2027</v>
      </c>
      <c r="E20" s="687">
        <f>32/365</f>
        <v>8.7671232876712329E-2</v>
      </c>
      <c r="F20" s="694">
        <f t="shared" si="5"/>
        <v>-14027.042121017914</v>
      </c>
      <c r="G20" s="694">
        <f t="shared" si="4"/>
        <v>-14027.042121017914</v>
      </c>
      <c r="H20" s="695">
        <f t="shared" si="0"/>
        <v>-1229.7680763632143</v>
      </c>
      <c r="I20" s="693">
        <v>0</v>
      </c>
      <c r="J20" s="691">
        <f t="shared" si="1"/>
        <v>0</v>
      </c>
      <c r="K20" s="693">
        <v>0</v>
      </c>
      <c r="L20" s="691">
        <f t="shared" si="2"/>
        <v>0</v>
      </c>
    </row>
    <row r="21" spans="1:20" ht="20.149999999999999" customHeight="1">
      <c r="A21" s="686">
        <f t="shared" si="3"/>
        <v>13</v>
      </c>
      <c r="B21" s="680" t="s">
        <v>1017</v>
      </c>
      <c r="C21" s="679" t="s">
        <v>98</v>
      </c>
      <c r="D21" s="786">
        <v>2027</v>
      </c>
      <c r="E21" s="687">
        <f>1/365</f>
        <v>2.7397260273972603E-3</v>
      </c>
      <c r="F21" s="694">
        <f t="shared" si="5"/>
        <v>-14027.042121017914</v>
      </c>
      <c r="G21" s="694">
        <f t="shared" si="4"/>
        <v>-14027.042121017914</v>
      </c>
      <c r="H21" s="695">
        <f t="shared" si="0"/>
        <v>-38.430252386350446</v>
      </c>
      <c r="I21" s="693">
        <v>0</v>
      </c>
      <c r="J21" s="691">
        <f t="shared" si="1"/>
        <v>0</v>
      </c>
      <c r="K21" s="693">
        <v>0</v>
      </c>
      <c r="L21" s="691">
        <f t="shared" si="2"/>
        <v>0</v>
      </c>
    </row>
    <row r="22" spans="1:20" ht="20.149999999999999" customHeight="1">
      <c r="A22" s="686">
        <f t="shared" si="3"/>
        <v>14</v>
      </c>
      <c r="B22" s="680" t="s">
        <v>1018</v>
      </c>
      <c r="F22" s="695">
        <f t="shared" ref="F22:L22" si="6">SUM(F9:F21)</f>
        <v>-1886555.968218579</v>
      </c>
      <c r="G22" s="695">
        <f t="shared" si="6"/>
        <v>-1886555.968218579</v>
      </c>
      <c r="H22" s="695">
        <f t="shared" si="6"/>
        <v>-1796206.44485827</v>
      </c>
      <c r="I22" s="691">
        <f t="shared" si="6"/>
        <v>0</v>
      </c>
      <c r="J22" s="691">
        <f t="shared" si="6"/>
        <v>0</v>
      </c>
      <c r="K22" s="691">
        <f t="shared" si="6"/>
        <v>0</v>
      </c>
      <c r="L22" s="691">
        <f t="shared" si="6"/>
        <v>0</v>
      </c>
    </row>
    <row r="23" spans="1:20">
      <c r="A23" s="686"/>
    </row>
    <row r="24" spans="1:20">
      <c r="A24" s="679" t="s">
        <v>1019</v>
      </c>
      <c r="D24" s="682"/>
      <c r="E24" s="682"/>
      <c r="F24" s="682"/>
      <c r="G24" s="682"/>
      <c r="T24" s="681"/>
    </row>
    <row r="25" spans="1:20" ht="20.149999999999999" customHeight="1">
      <c r="A25" s="686">
        <f>A22+1</f>
        <v>15</v>
      </c>
      <c r="B25" s="680" t="s">
        <v>1020</v>
      </c>
      <c r="C25" s="679" t="s">
        <v>98</v>
      </c>
      <c r="D25" s="786">
        <f>D9</f>
        <v>2026</v>
      </c>
      <c r="E25" s="687">
        <f>365/365</f>
        <v>1</v>
      </c>
      <c r="F25" s="688">
        <f>'4c- ADIT BOY'!C78</f>
        <v>-159638.84738990734</v>
      </c>
      <c r="G25" s="688">
        <f>'4c- ADIT BOY'!E78</f>
        <v>-159638.84738990734</v>
      </c>
      <c r="H25" s="689">
        <f t="shared" ref="H25:H37" si="7">E25*G25</f>
        <v>-159638.84738990734</v>
      </c>
      <c r="I25" s="690">
        <f>'4c- ADIT BOY'!F74</f>
        <v>0</v>
      </c>
      <c r="J25" s="691">
        <f t="shared" ref="J25:J37" si="8">I25*E25</f>
        <v>0</v>
      </c>
      <c r="K25" s="690">
        <f>'4c- ADIT BOY'!G74</f>
        <v>0</v>
      </c>
      <c r="L25" s="691">
        <f t="shared" ref="L25:L37" si="9">E25*K25</f>
        <v>0</v>
      </c>
    </row>
    <row r="26" spans="1:20" ht="20.149999999999999" customHeight="1">
      <c r="A26" s="686">
        <f t="shared" ref="A26:A38" si="10">+A25+1</f>
        <v>16</v>
      </c>
      <c r="B26" s="680" t="s">
        <v>1017</v>
      </c>
      <c r="C26" s="679" t="s">
        <v>105</v>
      </c>
      <c r="D26" s="786">
        <f t="shared" ref="D26:D37" si="11">D10</f>
        <v>2027</v>
      </c>
      <c r="E26" s="687">
        <f>335/365</f>
        <v>0.9178082191780822</v>
      </c>
      <c r="F26" s="694">
        <v>0</v>
      </c>
      <c r="G26" s="694">
        <v>0</v>
      </c>
      <c r="H26" s="689">
        <f t="shared" si="7"/>
        <v>0</v>
      </c>
      <c r="I26" s="693">
        <v>0</v>
      </c>
      <c r="J26" s="691">
        <f t="shared" si="8"/>
        <v>0</v>
      </c>
      <c r="K26" s="693">
        <v>0</v>
      </c>
      <c r="L26" s="691">
        <f t="shared" si="9"/>
        <v>0</v>
      </c>
    </row>
    <row r="27" spans="1:20" ht="20.149999999999999" customHeight="1">
      <c r="A27" s="686">
        <f t="shared" si="10"/>
        <v>17</v>
      </c>
      <c r="B27" s="680" t="s">
        <v>1017</v>
      </c>
      <c r="C27" s="679" t="s">
        <v>104</v>
      </c>
      <c r="D27" s="786">
        <f t="shared" si="11"/>
        <v>2027</v>
      </c>
      <c r="E27" s="687">
        <f>307/365</f>
        <v>0.84109589041095889</v>
      </c>
      <c r="F27" s="694">
        <v>0</v>
      </c>
      <c r="G27" s="694">
        <v>0</v>
      </c>
      <c r="H27" s="689">
        <f t="shared" si="7"/>
        <v>0</v>
      </c>
      <c r="I27" s="693">
        <v>0</v>
      </c>
      <c r="J27" s="691">
        <f t="shared" si="8"/>
        <v>0</v>
      </c>
      <c r="K27" s="693">
        <v>0</v>
      </c>
      <c r="L27" s="691">
        <f t="shared" si="9"/>
        <v>0</v>
      </c>
    </row>
    <row r="28" spans="1:20" ht="20.149999999999999" customHeight="1">
      <c r="A28" s="686">
        <f t="shared" si="10"/>
        <v>18</v>
      </c>
      <c r="B28" s="680" t="s">
        <v>1017</v>
      </c>
      <c r="C28" s="679" t="s">
        <v>103</v>
      </c>
      <c r="D28" s="786">
        <f t="shared" si="11"/>
        <v>2027</v>
      </c>
      <c r="E28" s="687">
        <f>276/365</f>
        <v>0.75616438356164384</v>
      </c>
      <c r="F28" s="694">
        <v>0</v>
      </c>
      <c r="G28" s="694">
        <v>0</v>
      </c>
      <c r="H28" s="689">
        <f t="shared" si="7"/>
        <v>0</v>
      </c>
      <c r="I28" s="693">
        <v>0</v>
      </c>
      <c r="J28" s="691">
        <f t="shared" si="8"/>
        <v>0</v>
      </c>
      <c r="K28" s="693">
        <v>0</v>
      </c>
      <c r="L28" s="691">
        <f t="shared" si="9"/>
        <v>0</v>
      </c>
    </row>
    <row r="29" spans="1:20" ht="20.149999999999999" customHeight="1">
      <c r="A29" s="686">
        <f t="shared" si="10"/>
        <v>19</v>
      </c>
      <c r="B29" s="680" t="s">
        <v>1017</v>
      </c>
      <c r="C29" s="679" t="s">
        <v>95</v>
      </c>
      <c r="D29" s="786">
        <f t="shared" si="11"/>
        <v>2027</v>
      </c>
      <c r="E29" s="687">
        <f>246/365</f>
        <v>0.67397260273972603</v>
      </c>
      <c r="F29" s="694">
        <v>0</v>
      </c>
      <c r="G29" s="694">
        <v>0</v>
      </c>
      <c r="H29" s="689">
        <f t="shared" si="7"/>
        <v>0</v>
      </c>
      <c r="I29" s="693">
        <v>0</v>
      </c>
      <c r="J29" s="691">
        <f t="shared" si="8"/>
        <v>0</v>
      </c>
      <c r="K29" s="693">
        <v>0</v>
      </c>
      <c r="L29" s="691">
        <f t="shared" si="9"/>
        <v>0</v>
      </c>
    </row>
    <row r="30" spans="1:20" ht="20.149999999999999" customHeight="1">
      <c r="A30" s="686">
        <f t="shared" si="10"/>
        <v>20</v>
      </c>
      <c r="B30" s="680" t="s">
        <v>1017</v>
      </c>
      <c r="C30" s="679" t="s">
        <v>92</v>
      </c>
      <c r="D30" s="786">
        <f t="shared" si="11"/>
        <v>2027</v>
      </c>
      <c r="E30" s="687">
        <f>215/365</f>
        <v>0.58904109589041098</v>
      </c>
      <c r="F30" s="694">
        <v>0</v>
      </c>
      <c r="G30" s="694">
        <v>0</v>
      </c>
      <c r="H30" s="689">
        <f t="shared" si="7"/>
        <v>0</v>
      </c>
      <c r="I30" s="693">
        <v>0</v>
      </c>
      <c r="J30" s="691">
        <f t="shared" si="8"/>
        <v>0</v>
      </c>
      <c r="K30" s="693">
        <v>0</v>
      </c>
      <c r="L30" s="691">
        <f t="shared" si="9"/>
        <v>0</v>
      </c>
    </row>
    <row r="31" spans="1:20" ht="20.149999999999999" customHeight="1">
      <c r="A31" s="686">
        <f t="shared" si="10"/>
        <v>21</v>
      </c>
      <c r="B31" s="680" t="s">
        <v>1017</v>
      </c>
      <c r="C31" s="679" t="s">
        <v>145</v>
      </c>
      <c r="D31" s="786">
        <f t="shared" si="11"/>
        <v>2027</v>
      </c>
      <c r="E31" s="687">
        <f>185/365</f>
        <v>0.50684931506849318</v>
      </c>
      <c r="F31" s="694">
        <v>0</v>
      </c>
      <c r="G31" s="694">
        <v>0</v>
      </c>
      <c r="H31" s="689">
        <f t="shared" si="7"/>
        <v>0</v>
      </c>
      <c r="I31" s="693">
        <v>0</v>
      </c>
      <c r="J31" s="691">
        <f t="shared" si="8"/>
        <v>0</v>
      </c>
      <c r="K31" s="693">
        <v>0</v>
      </c>
      <c r="L31" s="691">
        <f t="shared" si="9"/>
        <v>0</v>
      </c>
    </row>
    <row r="32" spans="1:20" ht="20.149999999999999" customHeight="1">
      <c r="A32" s="686">
        <f t="shared" si="10"/>
        <v>22</v>
      </c>
      <c r="B32" s="680" t="s">
        <v>1017</v>
      </c>
      <c r="C32" s="679" t="s">
        <v>102</v>
      </c>
      <c r="D32" s="786">
        <f t="shared" si="11"/>
        <v>2027</v>
      </c>
      <c r="E32" s="687">
        <f>154/365</f>
        <v>0.42191780821917807</v>
      </c>
      <c r="F32" s="694">
        <v>0</v>
      </c>
      <c r="G32" s="694">
        <v>0</v>
      </c>
      <c r="H32" s="689">
        <f t="shared" si="7"/>
        <v>0</v>
      </c>
      <c r="I32" s="693">
        <v>0</v>
      </c>
      <c r="J32" s="691">
        <f t="shared" si="8"/>
        <v>0</v>
      </c>
      <c r="K32" s="693">
        <v>0</v>
      </c>
      <c r="L32" s="691">
        <f t="shared" si="9"/>
        <v>0</v>
      </c>
    </row>
    <row r="33" spans="1:20" ht="20.149999999999999" customHeight="1">
      <c r="A33" s="686">
        <f t="shared" si="10"/>
        <v>23</v>
      </c>
      <c r="B33" s="680" t="s">
        <v>1017</v>
      </c>
      <c r="C33" s="679" t="s">
        <v>101</v>
      </c>
      <c r="D33" s="786">
        <f t="shared" si="11"/>
        <v>2027</v>
      </c>
      <c r="E33" s="687">
        <f>123/365</f>
        <v>0.33698630136986302</v>
      </c>
      <c r="F33" s="694">
        <v>0</v>
      </c>
      <c r="G33" s="694">
        <v>0</v>
      </c>
      <c r="H33" s="689">
        <f t="shared" si="7"/>
        <v>0</v>
      </c>
      <c r="I33" s="693">
        <v>0</v>
      </c>
      <c r="J33" s="691">
        <f t="shared" si="8"/>
        <v>0</v>
      </c>
      <c r="K33" s="693">
        <v>0</v>
      </c>
      <c r="L33" s="691">
        <f t="shared" si="9"/>
        <v>0</v>
      </c>
    </row>
    <row r="34" spans="1:20" ht="20.149999999999999" customHeight="1">
      <c r="A34" s="686">
        <f t="shared" si="10"/>
        <v>24</v>
      </c>
      <c r="B34" s="680" t="s">
        <v>1017</v>
      </c>
      <c r="C34" s="679" t="s">
        <v>100</v>
      </c>
      <c r="D34" s="786">
        <f t="shared" si="11"/>
        <v>2027</v>
      </c>
      <c r="E34" s="687">
        <f>93/365</f>
        <v>0.25479452054794521</v>
      </c>
      <c r="F34" s="694">
        <v>0</v>
      </c>
      <c r="G34" s="694">
        <v>0</v>
      </c>
      <c r="H34" s="689">
        <f t="shared" si="7"/>
        <v>0</v>
      </c>
      <c r="I34" s="693">
        <v>0</v>
      </c>
      <c r="J34" s="691">
        <f t="shared" si="8"/>
        <v>0</v>
      </c>
      <c r="K34" s="693">
        <v>0</v>
      </c>
      <c r="L34" s="691">
        <f t="shared" si="9"/>
        <v>0</v>
      </c>
    </row>
    <row r="35" spans="1:20" ht="20.149999999999999" customHeight="1">
      <c r="A35" s="686">
        <f t="shared" si="10"/>
        <v>25</v>
      </c>
      <c r="B35" s="680" t="s">
        <v>1017</v>
      </c>
      <c r="C35" s="679" t="s">
        <v>106</v>
      </c>
      <c r="D35" s="786">
        <f t="shared" si="11"/>
        <v>2027</v>
      </c>
      <c r="E35" s="687">
        <f>62/365</f>
        <v>0.16986301369863013</v>
      </c>
      <c r="F35" s="694">
        <v>0</v>
      </c>
      <c r="G35" s="694">
        <v>0</v>
      </c>
      <c r="H35" s="689">
        <f t="shared" si="7"/>
        <v>0</v>
      </c>
      <c r="I35" s="693">
        <v>0</v>
      </c>
      <c r="J35" s="691">
        <f t="shared" si="8"/>
        <v>0</v>
      </c>
      <c r="K35" s="693">
        <v>0</v>
      </c>
      <c r="L35" s="691">
        <f t="shared" si="9"/>
        <v>0</v>
      </c>
    </row>
    <row r="36" spans="1:20" ht="20.149999999999999" customHeight="1">
      <c r="A36" s="686">
        <f t="shared" si="10"/>
        <v>26</v>
      </c>
      <c r="B36" s="680" t="s">
        <v>1017</v>
      </c>
      <c r="C36" s="679" t="s">
        <v>99</v>
      </c>
      <c r="D36" s="786">
        <f t="shared" si="11"/>
        <v>2027</v>
      </c>
      <c r="E36" s="687">
        <f>32/365</f>
        <v>8.7671232876712329E-2</v>
      </c>
      <c r="F36" s="694">
        <v>0</v>
      </c>
      <c r="G36" s="694">
        <v>0</v>
      </c>
      <c r="H36" s="689">
        <f t="shared" si="7"/>
        <v>0</v>
      </c>
      <c r="I36" s="693">
        <v>0</v>
      </c>
      <c r="J36" s="691">
        <f t="shared" si="8"/>
        <v>0</v>
      </c>
      <c r="K36" s="693">
        <v>0</v>
      </c>
      <c r="L36" s="691">
        <f t="shared" si="9"/>
        <v>0</v>
      </c>
    </row>
    <row r="37" spans="1:20" ht="20.149999999999999" customHeight="1">
      <c r="A37" s="686">
        <f t="shared" si="10"/>
        <v>27</v>
      </c>
      <c r="B37" s="680" t="s">
        <v>1017</v>
      </c>
      <c r="C37" s="679" t="s">
        <v>98</v>
      </c>
      <c r="D37" s="786">
        <f t="shared" si="11"/>
        <v>2027</v>
      </c>
      <c r="E37" s="687">
        <f>1/365</f>
        <v>2.7397260273972603E-3</v>
      </c>
      <c r="F37" s="694">
        <v>0</v>
      </c>
      <c r="G37" s="694">
        <v>0</v>
      </c>
      <c r="H37" s="689">
        <f t="shared" si="7"/>
        <v>0</v>
      </c>
      <c r="I37" s="693">
        <v>0</v>
      </c>
      <c r="J37" s="691">
        <f t="shared" si="8"/>
        <v>0</v>
      </c>
      <c r="K37" s="693">
        <v>0</v>
      </c>
      <c r="L37" s="691">
        <f t="shared" si="9"/>
        <v>0</v>
      </c>
    </row>
    <row r="38" spans="1:20" ht="20.149999999999999" customHeight="1">
      <c r="A38" s="686">
        <f t="shared" si="10"/>
        <v>28</v>
      </c>
      <c r="B38" s="680" t="s">
        <v>1021</v>
      </c>
      <c r="F38" s="689">
        <f t="shared" ref="F38:L38" si="12">SUM(F25:F37)</f>
        <v>-159638.84738990734</v>
      </c>
      <c r="G38" s="689">
        <f t="shared" si="12"/>
        <v>-159638.84738990734</v>
      </c>
      <c r="H38" s="689">
        <f t="shared" si="12"/>
        <v>-159638.84738990734</v>
      </c>
      <c r="I38" s="691">
        <f t="shared" si="12"/>
        <v>0</v>
      </c>
      <c r="J38" s="691">
        <f t="shared" si="12"/>
        <v>0</v>
      </c>
      <c r="K38" s="691">
        <f t="shared" si="12"/>
        <v>0</v>
      </c>
      <c r="L38" s="691">
        <f t="shared" si="12"/>
        <v>0</v>
      </c>
    </row>
    <row r="39" spans="1:20">
      <c r="A39" s="686"/>
      <c r="F39" s="689"/>
      <c r="G39" s="689"/>
      <c r="I39" s="691"/>
      <c r="J39" s="691"/>
      <c r="K39" s="691"/>
      <c r="L39" s="691"/>
    </row>
    <row r="40" spans="1:20">
      <c r="A40" s="679" t="s">
        <v>1022</v>
      </c>
      <c r="D40" s="682"/>
      <c r="E40" s="682"/>
      <c r="F40" s="682"/>
      <c r="G40" s="682"/>
      <c r="T40" s="681"/>
    </row>
    <row r="41" spans="1:20" ht="20.149999999999999" customHeight="1">
      <c r="A41" s="686">
        <f>A38+1</f>
        <v>29</v>
      </c>
      <c r="B41" s="680" t="s">
        <v>1023</v>
      </c>
      <c r="C41" s="679" t="s">
        <v>98</v>
      </c>
      <c r="D41" s="786">
        <f>D25</f>
        <v>2026</v>
      </c>
      <c r="E41" s="687">
        <f>365/365</f>
        <v>1</v>
      </c>
      <c r="F41" s="688">
        <f>'4c- ADIT BOY'!C32</f>
        <v>-12723.165763105524</v>
      </c>
      <c r="G41" s="688">
        <f>'4c- ADIT BOY'!E32</f>
        <v>-12723.165763105524</v>
      </c>
      <c r="H41" s="689">
        <f t="shared" ref="H41:H42" si="13">E41*G41</f>
        <v>-12723.165763105524</v>
      </c>
      <c r="I41" s="690">
        <f>'4c- ADIT BOY'!F28</f>
        <v>0</v>
      </c>
      <c r="J41" s="691">
        <f t="shared" ref="J41:J53" si="14">I41*E41</f>
        <v>0</v>
      </c>
      <c r="K41" s="690">
        <f>'4c- ADIT BOY'!G28</f>
        <v>0</v>
      </c>
      <c r="L41" s="691">
        <f t="shared" ref="L41:L53" si="15">E41*K41</f>
        <v>0</v>
      </c>
    </row>
    <row r="42" spans="1:20" ht="20.149999999999999" customHeight="1">
      <c r="A42" s="686">
        <f t="shared" ref="A42:A54" si="16">+A41+1</f>
        <v>30</v>
      </c>
      <c r="B42" s="680" t="s">
        <v>1017</v>
      </c>
      <c r="C42" s="679" t="s">
        <v>105</v>
      </c>
      <c r="D42" s="786">
        <f t="shared" ref="D42:D53" si="17">D26</f>
        <v>2027</v>
      </c>
      <c r="E42" s="687">
        <f>335/365</f>
        <v>0.9178082191780822</v>
      </c>
      <c r="F42" s="692">
        <f>('4d- ADIT EOY'!E28-'4c- ADIT BOY'!E28)/12</f>
        <v>-43.541552079072368</v>
      </c>
      <c r="G42" s="692">
        <f>F42</f>
        <v>-43.541552079072368</v>
      </c>
      <c r="H42" s="689">
        <f t="shared" si="13"/>
        <v>-39.962794373943133</v>
      </c>
      <c r="I42" s="693">
        <v>0</v>
      </c>
      <c r="J42" s="691">
        <f t="shared" si="14"/>
        <v>0</v>
      </c>
      <c r="K42" s="693">
        <v>0</v>
      </c>
      <c r="L42" s="691">
        <f t="shared" si="15"/>
        <v>0</v>
      </c>
    </row>
    <row r="43" spans="1:20" ht="20.149999999999999" customHeight="1">
      <c r="A43" s="686">
        <f t="shared" si="16"/>
        <v>31</v>
      </c>
      <c r="B43" s="680" t="s">
        <v>1017</v>
      </c>
      <c r="C43" s="679" t="s">
        <v>104</v>
      </c>
      <c r="D43" s="786">
        <f t="shared" si="17"/>
        <v>2027</v>
      </c>
      <c r="E43" s="687">
        <f>307/365</f>
        <v>0.84109589041095889</v>
      </c>
      <c r="F43" s="692">
        <f>$F$42</f>
        <v>-43.541552079072368</v>
      </c>
      <c r="G43" s="692">
        <f t="shared" ref="G43:G53" si="18">F43</f>
        <v>-43.541552079072368</v>
      </c>
      <c r="H43" s="689">
        <f t="shared" ref="H43:H53" si="19">E43*G43</f>
        <v>-36.622620515822511</v>
      </c>
      <c r="I43" s="693">
        <v>0</v>
      </c>
      <c r="J43" s="691">
        <f t="shared" si="14"/>
        <v>0</v>
      </c>
      <c r="K43" s="693">
        <v>0</v>
      </c>
      <c r="L43" s="691">
        <f t="shared" si="15"/>
        <v>0</v>
      </c>
    </row>
    <row r="44" spans="1:20" ht="20.149999999999999" customHeight="1">
      <c r="A44" s="686">
        <f t="shared" si="16"/>
        <v>32</v>
      </c>
      <c r="B44" s="680" t="s">
        <v>1017</v>
      </c>
      <c r="C44" s="679" t="s">
        <v>103</v>
      </c>
      <c r="D44" s="786">
        <f t="shared" si="17"/>
        <v>2027</v>
      </c>
      <c r="E44" s="687">
        <f>276/365</f>
        <v>0.75616438356164384</v>
      </c>
      <c r="F44" s="692">
        <f t="shared" ref="F44:F53" si="20">$F$42</f>
        <v>-43.541552079072368</v>
      </c>
      <c r="G44" s="692">
        <f t="shared" si="18"/>
        <v>-43.541552079072368</v>
      </c>
      <c r="H44" s="689">
        <f t="shared" si="19"/>
        <v>-32.92457088718897</v>
      </c>
      <c r="I44" s="693">
        <v>0</v>
      </c>
      <c r="J44" s="691">
        <f t="shared" si="14"/>
        <v>0</v>
      </c>
      <c r="K44" s="693">
        <v>0</v>
      </c>
      <c r="L44" s="691">
        <f t="shared" si="15"/>
        <v>0</v>
      </c>
    </row>
    <row r="45" spans="1:20" ht="20.149999999999999" customHeight="1">
      <c r="A45" s="686">
        <f t="shared" si="16"/>
        <v>33</v>
      </c>
      <c r="B45" s="680" t="s">
        <v>1017</v>
      </c>
      <c r="C45" s="679" t="s">
        <v>95</v>
      </c>
      <c r="D45" s="786">
        <f t="shared" si="17"/>
        <v>2027</v>
      </c>
      <c r="E45" s="687">
        <f>246/365</f>
        <v>0.67397260273972603</v>
      </c>
      <c r="F45" s="692">
        <f t="shared" si="20"/>
        <v>-43.541552079072368</v>
      </c>
      <c r="G45" s="692">
        <f t="shared" si="18"/>
        <v>-43.541552079072368</v>
      </c>
      <c r="H45" s="689">
        <f t="shared" si="19"/>
        <v>-29.345813182059732</v>
      </c>
      <c r="I45" s="693">
        <v>0</v>
      </c>
      <c r="J45" s="691">
        <f t="shared" si="14"/>
        <v>0</v>
      </c>
      <c r="K45" s="693">
        <v>0</v>
      </c>
      <c r="L45" s="691">
        <f t="shared" si="15"/>
        <v>0</v>
      </c>
    </row>
    <row r="46" spans="1:20" ht="20.149999999999999" customHeight="1">
      <c r="A46" s="686">
        <f t="shared" si="16"/>
        <v>34</v>
      </c>
      <c r="B46" s="680" t="s">
        <v>1017</v>
      </c>
      <c r="C46" s="679" t="s">
        <v>92</v>
      </c>
      <c r="D46" s="786">
        <f t="shared" si="17"/>
        <v>2027</v>
      </c>
      <c r="E46" s="687">
        <f>215/365</f>
        <v>0.58904109589041098</v>
      </c>
      <c r="F46" s="692">
        <f t="shared" si="20"/>
        <v>-43.541552079072368</v>
      </c>
      <c r="G46" s="692">
        <f t="shared" si="18"/>
        <v>-43.541552079072368</v>
      </c>
      <c r="H46" s="689">
        <f t="shared" si="19"/>
        <v>-25.647763553426191</v>
      </c>
      <c r="I46" s="693">
        <v>0</v>
      </c>
      <c r="J46" s="691">
        <f t="shared" si="14"/>
        <v>0</v>
      </c>
      <c r="K46" s="693">
        <v>0</v>
      </c>
      <c r="L46" s="691">
        <f t="shared" si="15"/>
        <v>0</v>
      </c>
    </row>
    <row r="47" spans="1:20" ht="20.149999999999999" customHeight="1">
      <c r="A47" s="686">
        <f t="shared" si="16"/>
        <v>35</v>
      </c>
      <c r="B47" s="680" t="s">
        <v>1017</v>
      </c>
      <c r="C47" s="679" t="s">
        <v>145</v>
      </c>
      <c r="D47" s="786">
        <f t="shared" si="17"/>
        <v>2027</v>
      </c>
      <c r="E47" s="687">
        <f>185/365</f>
        <v>0.50684931506849318</v>
      </c>
      <c r="F47" s="692">
        <f t="shared" si="20"/>
        <v>-43.541552079072368</v>
      </c>
      <c r="G47" s="692">
        <f t="shared" si="18"/>
        <v>-43.541552079072368</v>
      </c>
      <c r="H47" s="689">
        <f t="shared" si="19"/>
        <v>-22.069005848296953</v>
      </c>
      <c r="I47" s="693">
        <v>0</v>
      </c>
      <c r="J47" s="691">
        <f t="shared" si="14"/>
        <v>0</v>
      </c>
      <c r="K47" s="693">
        <v>0</v>
      </c>
      <c r="L47" s="691">
        <f t="shared" si="15"/>
        <v>0</v>
      </c>
    </row>
    <row r="48" spans="1:20" ht="20.149999999999999" customHeight="1">
      <c r="A48" s="686">
        <f t="shared" si="16"/>
        <v>36</v>
      </c>
      <c r="B48" s="680" t="s">
        <v>1017</v>
      </c>
      <c r="C48" s="679" t="s">
        <v>102</v>
      </c>
      <c r="D48" s="786">
        <f t="shared" si="17"/>
        <v>2027</v>
      </c>
      <c r="E48" s="687">
        <f>154/365</f>
        <v>0.42191780821917807</v>
      </c>
      <c r="F48" s="692">
        <f t="shared" si="20"/>
        <v>-43.541552079072368</v>
      </c>
      <c r="G48" s="692">
        <f t="shared" si="18"/>
        <v>-43.541552079072368</v>
      </c>
      <c r="H48" s="689">
        <f t="shared" si="19"/>
        <v>-18.370956219663409</v>
      </c>
      <c r="I48" s="693">
        <v>0</v>
      </c>
      <c r="J48" s="691">
        <f t="shared" si="14"/>
        <v>0</v>
      </c>
      <c r="K48" s="693">
        <v>0</v>
      </c>
      <c r="L48" s="691">
        <f t="shared" si="15"/>
        <v>0</v>
      </c>
    </row>
    <row r="49" spans="1:12" ht="20.149999999999999" customHeight="1">
      <c r="A49" s="686">
        <f t="shared" si="16"/>
        <v>37</v>
      </c>
      <c r="B49" s="680" t="s">
        <v>1017</v>
      </c>
      <c r="C49" s="679" t="s">
        <v>101</v>
      </c>
      <c r="D49" s="786">
        <f t="shared" si="17"/>
        <v>2027</v>
      </c>
      <c r="E49" s="687">
        <f>123/365</f>
        <v>0.33698630136986302</v>
      </c>
      <c r="F49" s="692">
        <f t="shared" si="20"/>
        <v>-43.541552079072368</v>
      </c>
      <c r="G49" s="692">
        <f t="shared" si="18"/>
        <v>-43.541552079072368</v>
      </c>
      <c r="H49" s="689">
        <f t="shared" si="19"/>
        <v>-14.672906591029866</v>
      </c>
      <c r="I49" s="693">
        <v>0</v>
      </c>
      <c r="J49" s="691">
        <f t="shared" si="14"/>
        <v>0</v>
      </c>
      <c r="K49" s="693">
        <v>0</v>
      </c>
      <c r="L49" s="691">
        <f t="shared" si="15"/>
        <v>0</v>
      </c>
    </row>
    <row r="50" spans="1:12" ht="20.149999999999999" customHeight="1">
      <c r="A50" s="686">
        <f t="shared" si="16"/>
        <v>38</v>
      </c>
      <c r="B50" s="680" t="s">
        <v>1017</v>
      </c>
      <c r="C50" s="679" t="s">
        <v>100</v>
      </c>
      <c r="D50" s="786">
        <f t="shared" si="17"/>
        <v>2027</v>
      </c>
      <c r="E50" s="687">
        <f>93/365</f>
        <v>0.25479452054794521</v>
      </c>
      <c r="F50" s="692">
        <f t="shared" si="20"/>
        <v>-43.541552079072368</v>
      </c>
      <c r="G50" s="692">
        <f t="shared" si="18"/>
        <v>-43.541552079072368</v>
      </c>
      <c r="H50" s="689">
        <f t="shared" si="19"/>
        <v>-11.094148885900632</v>
      </c>
      <c r="I50" s="693">
        <v>0</v>
      </c>
      <c r="J50" s="691">
        <f t="shared" si="14"/>
        <v>0</v>
      </c>
      <c r="K50" s="693">
        <v>0</v>
      </c>
      <c r="L50" s="691">
        <f t="shared" si="15"/>
        <v>0</v>
      </c>
    </row>
    <row r="51" spans="1:12" ht="20.149999999999999" customHeight="1">
      <c r="A51" s="686">
        <f t="shared" si="16"/>
        <v>39</v>
      </c>
      <c r="B51" s="680" t="s">
        <v>1017</v>
      </c>
      <c r="C51" s="679" t="s">
        <v>106</v>
      </c>
      <c r="D51" s="786">
        <f t="shared" si="17"/>
        <v>2027</v>
      </c>
      <c r="E51" s="687">
        <f>62/365</f>
        <v>0.16986301369863013</v>
      </c>
      <c r="F51" s="692">
        <f t="shared" si="20"/>
        <v>-43.541552079072368</v>
      </c>
      <c r="G51" s="692">
        <f t="shared" si="18"/>
        <v>-43.541552079072368</v>
      </c>
      <c r="H51" s="689">
        <f t="shared" si="19"/>
        <v>-7.3960992572670872</v>
      </c>
      <c r="I51" s="693">
        <v>0</v>
      </c>
      <c r="J51" s="691">
        <f t="shared" si="14"/>
        <v>0</v>
      </c>
      <c r="K51" s="693">
        <v>0</v>
      </c>
      <c r="L51" s="691">
        <f t="shared" si="15"/>
        <v>0</v>
      </c>
    </row>
    <row r="52" spans="1:12" ht="20.149999999999999" customHeight="1">
      <c r="A52" s="686">
        <f t="shared" si="16"/>
        <v>40</v>
      </c>
      <c r="B52" s="680" t="s">
        <v>1017</v>
      </c>
      <c r="C52" s="679" t="s">
        <v>99</v>
      </c>
      <c r="D52" s="786">
        <f t="shared" si="17"/>
        <v>2027</v>
      </c>
      <c r="E52" s="687">
        <f>32/365</f>
        <v>8.7671232876712329E-2</v>
      </c>
      <c r="F52" s="692">
        <f t="shared" si="20"/>
        <v>-43.541552079072368</v>
      </c>
      <c r="G52" s="692">
        <f t="shared" si="18"/>
        <v>-43.541552079072368</v>
      </c>
      <c r="H52" s="689">
        <f t="shared" si="19"/>
        <v>-3.8173415521378513</v>
      </c>
      <c r="I52" s="693">
        <v>0</v>
      </c>
      <c r="J52" s="691">
        <f t="shared" si="14"/>
        <v>0</v>
      </c>
      <c r="K52" s="693">
        <v>0</v>
      </c>
      <c r="L52" s="691">
        <f t="shared" si="15"/>
        <v>0</v>
      </c>
    </row>
    <row r="53" spans="1:12" ht="20.149999999999999" customHeight="1">
      <c r="A53" s="686">
        <f t="shared" si="16"/>
        <v>41</v>
      </c>
      <c r="B53" s="680" t="s">
        <v>1017</v>
      </c>
      <c r="C53" s="679" t="s">
        <v>98</v>
      </c>
      <c r="D53" s="786">
        <f t="shared" si="17"/>
        <v>2027</v>
      </c>
      <c r="E53" s="687">
        <f>1/365</f>
        <v>2.7397260273972603E-3</v>
      </c>
      <c r="F53" s="692">
        <f t="shared" si="20"/>
        <v>-43.541552079072368</v>
      </c>
      <c r="G53" s="692">
        <f t="shared" si="18"/>
        <v>-43.541552079072368</v>
      </c>
      <c r="H53" s="689">
        <f t="shared" si="19"/>
        <v>-0.11929192350430785</v>
      </c>
      <c r="I53" s="693">
        <v>0</v>
      </c>
      <c r="J53" s="691">
        <f t="shared" si="14"/>
        <v>0</v>
      </c>
      <c r="K53" s="693">
        <v>0</v>
      </c>
      <c r="L53" s="691">
        <f t="shared" si="15"/>
        <v>0</v>
      </c>
    </row>
    <row r="54" spans="1:12" ht="20.149999999999999" customHeight="1">
      <c r="A54" s="686">
        <f t="shared" si="16"/>
        <v>42</v>
      </c>
      <c r="B54" s="680" t="s">
        <v>1024</v>
      </c>
      <c r="F54" s="689">
        <f t="shared" ref="F54:L54" si="21">SUM(F41:F53)</f>
        <v>-13245.664388054389</v>
      </c>
      <c r="G54" s="689">
        <f t="shared" si="21"/>
        <v>-13245.664388054389</v>
      </c>
      <c r="H54" s="689">
        <f t="shared" si="21"/>
        <v>-12965.209075895764</v>
      </c>
      <c r="I54" s="691">
        <f t="shared" si="21"/>
        <v>0</v>
      </c>
      <c r="J54" s="691">
        <f t="shared" si="21"/>
        <v>0</v>
      </c>
      <c r="K54" s="691">
        <f t="shared" si="21"/>
        <v>0</v>
      </c>
      <c r="L54" s="691">
        <f t="shared" si="21"/>
        <v>0</v>
      </c>
    </row>
    <row r="55" spans="1:12">
      <c r="B55" s="679"/>
    </row>
    <row r="56" spans="1:12">
      <c r="B56" s="679"/>
    </row>
    <row r="57" spans="1:12" ht="15.75" customHeight="1">
      <c r="A57" s="696" t="s">
        <v>1025</v>
      </c>
      <c r="B57" s="679" t="s">
        <v>1026</v>
      </c>
    </row>
    <row r="58" spans="1:12">
      <c r="A58" s="696" t="s">
        <v>1027</v>
      </c>
      <c r="B58" s="679" t="s">
        <v>1028</v>
      </c>
      <c r="D58" s="697"/>
      <c r="E58" s="697"/>
      <c r="F58" s="697"/>
      <c r="G58" s="697"/>
      <c r="H58" s="697"/>
      <c r="I58" s="698"/>
    </row>
    <row r="59" spans="1:12">
      <c r="A59" s="699" t="s">
        <v>75</v>
      </c>
      <c r="B59" s="679" t="s">
        <v>1029</v>
      </c>
      <c r="D59" s="697"/>
      <c r="E59" s="697"/>
      <c r="F59" s="697"/>
      <c r="G59" s="697"/>
      <c r="H59" s="697"/>
      <c r="I59" s="698"/>
    </row>
    <row r="60" spans="1:12">
      <c r="A60" s="699" t="s">
        <v>76</v>
      </c>
      <c r="B60" s="679" t="s">
        <v>1030</v>
      </c>
      <c r="D60" s="697"/>
      <c r="E60" s="697"/>
      <c r="F60" s="697"/>
      <c r="G60" s="697"/>
      <c r="H60" s="697"/>
      <c r="I60" s="698"/>
    </row>
    <row r="61" spans="1:12">
      <c r="A61" s="699" t="s">
        <v>77</v>
      </c>
      <c r="B61" s="680" t="s">
        <v>1031</v>
      </c>
      <c r="D61" s="682"/>
      <c r="E61" s="682"/>
    </row>
    <row r="62" spans="1:12">
      <c r="D62" s="700"/>
      <c r="E62" s="700"/>
    </row>
    <row r="63" spans="1:12">
      <c r="D63" s="700"/>
      <c r="E63" s="700"/>
    </row>
    <row r="64" spans="1:12">
      <c r="D64" s="700"/>
      <c r="E64" s="700"/>
    </row>
    <row r="65" spans="2:10">
      <c r="D65" s="700"/>
      <c r="E65" s="700"/>
    </row>
    <row r="66" spans="2:10">
      <c r="D66" s="700"/>
      <c r="E66" s="700"/>
      <c r="J66" s="700"/>
    </row>
    <row r="67" spans="2:10">
      <c r="D67" s="700"/>
      <c r="E67" s="700"/>
    </row>
    <row r="68" spans="2:10">
      <c r="D68" s="700"/>
      <c r="E68" s="700"/>
    </row>
    <row r="69" spans="2:10">
      <c r="D69" s="700"/>
      <c r="E69" s="700"/>
    </row>
    <row r="70" spans="2:10">
      <c r="D70" s="700"/>
      <c r="E70" s="700"/>
    </row>
    <row r="71" spans="2:10">
      <c r="D71" s="700"/>
      <c r="E71" s="700"/>
    </row>
    <row r="72" spans="2:10">
      <c r="B72" s="679"/>
      <c r="D72" s="700"/>
      <c r="E72" s="700"/>
    </row>
    <row r="73" spans="2:10">
      <c r="D73" s="700"/>
      <c r="E73" s="700"/>
    </row>
    <row r="74" spans="2:10">
      <c r="B74" s="679"/>
      <c r="D74" s="700"/>
      <c r="E74" s="700"/>
    </row>
    <row r="178" spans="9:9">
      <c r="I178" s="701"/>
    </row>
  </sheetData>
  <mergeCells count="3">
    <mergeCell ref="A1:L1"/>
    <mergeCell ref="A2:L2"/>
    <mergeCell ref="A3:L3"/>
  </mergeCells>
  <printOptions horizontalCentered="1"/>
  <pageMargins left="0.25" right="0.25" top="0.5" bottom="0.5" header="0.3" footer="0.3"/>
  <pageSetup scale="45" fitToWidth="0" fitToHeight="0" orientation="landscape" cellComments="asDisplayed" r:id="rId1"/>
  <headerFooter alignWithMargins="0"/>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U210"/>
  <sheetViews>
    <sheetView zoomScale="70" zoomScaleNormal="70" workbookViewId="0"/>
  </sheetViews>
  <sheetFormatPr defaultColWidth="8.84375" defaultRowHeight="13"/>
  <cols>
    <col min="1" max="1" width="5.3046875" style="664" customWidth="1"/>
    <col min="2" max="2" width="51.4609375" style="670" customWidth="1"/>
    <col min="3" max="3" width="22.07421875" style="664" customWidth="1"/>
    <col min="4" max="4" width="16.3046875" style="664" customWidth="1"/>
    <col min="5" max="5" width="11.84375" style="664" customWidth="1"/>
    <col min="6" max="6" width="13.84375" style="664" customWidth="1"/>
    <col min="7" max="7" width="13.07421875" style="664" customWidth="1"/>
    <col min="8" max="8" width="77.69140625" style="664" customWidth="1"/>
    <col min="9" max="16384" width="8.84375" style="664"/>
  </cols>
  <sheetData>
    <row r="1" spans="1:21">
      <c r="B1" s="978" t="s">
        <v>1032</v>
      </c>
      <c r="C1" s="978"/>
      <c r="D1" s="978"/>
      <c r="E1" s="978"/>
      <c r="F1" s="978"/>
      <c r="G1" s="978"/>
      <c r="H1" s="978"/>
    </row>
    <row r="2" spans="1:21">
      <c r="B2" s="978" t="s">
        <v>1276</v>
      </c>
      <c r="C2" s="978"/>
      <c r="D2" s="978"/>
      <c r="E2" s="978"/>
      <c r="F2" s="978"/>
      <c r="G2" s="978"/>
      <c r="H2" s="978"/>
    </row>
    <row r="3" spans="1:21">
      <c r="B3" s="978"/>
      <c r="C3" s="978"/>
      <c r="D3" s="978"/>
      <c r="E3" s="978"/>
      <c r="F3" s="978"/>
      <c r="G3" s="978"/>
      <c r="H3" s="979"/>
    </row>
    <row r="4" spans="1:21">
      <c r="B4" s="664"/>
    </row>
    <row r="5" spans="1:21">
      <c r="D5" s="666"/>
      <c r="E5" s="666"/>
      <c r="G5" s="666"/>
    </row>
    <row r="6" spans="1:21">
      <c r="U6" s="666"/>
    </row>
    <row r="7" spans="1:21" ht="34.5" customHeight="1">
      <c r="A7" s="702" t="s">
        <v>990</v>
      </c>
      <c r="B7" s="702" t="s">
        <v>1033</v>
      </c>
      <c r="C7" s="703"/>
      <c r="D7" s="703"/>
      <c r="E7" s="704" t="s">
        <v>993</v>
      </c>
      <c r="F7" s="704" t="s">
        <v>994</v>
      </c>
      <c r="G7" s="702" t="s">
        <v>995</v>
      </c>
      <c r="H7" s="703"/>
      <c r="U7" s="666"/>
    </row>
    <row r="8" spans="1:21">
      <c r="B8" s="671"/>
      <c r="L8" s="124"/>
    </row>
    <row r="9" spans="1:21" ht="20.149999999999999" customHeight="1">
      <c r="A9" s="664">
        <v>1</v>
      </c>
      <c r="B9" s="664" t="s">
        <v>997</v>
      </c>
      <c r="E9" s="618">
        <f>+E54</f>
        <v>-1718231.4627663651</v>
      </c>
      <c r="F9" s="618">
        <f>+F54</f>
        <v>0</v>
      </c>
      <c r="G9" s="618">
        <f>+G54</f>
        <v>0</v>
      </c>
      <c r="H9" s="664" t="s">
        <v>1034</v>
      </c>
    </row>
    <row r="10" spans="1:21" ht="20.149999999999999" customHeight="1">
      <c r="A10" s="664">
        <f>+A9+1</f>
        <v>2</v>
      </c>
      <c r="B10" s="664" t="s">
        <v>1005</v>
      </c>
      <c r="E10" s="618">
        <f>+E78</f>
        <v>-159638.84738990734</v>
      </c>
      <c r="F10" s="618">
        <f>+F78</f>
        <v>0</v>
      </c>
      <c r="G10" s="618">
        <f>+G78</f>
        <v>0</v>
      </c>
      <c r="H10" s="664" t="s">
        <v>1035</v>
      </c>
    </row>
    <row r="11" spans="1:21" ht="20.149999999999999" customHeight="1">
      <c r="A11" s="664">
        <f>+A10+1</f>
        <v>3</v>
      </c>
      <c r="B11" s="664" t="s">
        <v>1007</v>
      </c>
      <c r="E11" s="618">
        <f>E32</f>
        <v>-12723.165763105524</v>
      </c>
      <c r="F11" s="618">
        <f>F32</f>
        <v>0</v>
      </c>
      <c r="G11" s="618">
        <f>G32</f>
        <v>0</v>
      </c>
      <c r="H11" s="664" t="s">
        <v>1036</v>
      </c>
    </row>
    <row r="12" spans="1:21" ht="20.149999999999999" customHeight="1">
      <c r="A12" s="664">
        <f>+A11+1</f>
        <v>4</v>
      </c>
      <c r="B12" s="664" t="s">
        <v>1037</v>
      </c>
      <c r="E12" s="618">
        <f>SUM(E9:E11)</f>
        <v>-1890593.475919378</v>
      </c>
      <c r="F12" s="618">
        <f>SUM(F9:F11)</f>
        <v>0</v>
      </c>
      <c r="G12" s="618">
        <f>SUM(G9:G11)</f>
        <v>0</v>
      </c>
      <c r="H12" s="705" t="s">
        <v>1038</v>
      </c>
    </row>
    <row r="13" spans="1:21">
      <c r="B13" s="664"/>
      <c r="D13" s="705"/>
      <c r="H13" s="618"/>
    </row>
    <row r="14" spans="1:21">
      <c r="B14" s="664"/>
      <c r="H14" s="672"/>
    </row>
    <row r="15" spans="1:21">
      <c r="B15" s="983" t="s">
        <v>1039</v>
      </c>
      <c r="C15" s="983"/>
      <c r="D15" s="983"/>
      <c r="E15" s="983"/>
      <c r="F15" s="983"/>
      <c r="G15" s="983"/>
      <c r="H15" s="983"/>
    </row>
    <row r="16" spans="1:21">
      <c r="D16" s="666"/>
      <c r="E16" s="666"/>
      <c r="F16" s="666"/>
      <c r="G16" s="666"/>
    </row>
    <row r="17" spans="1:8">
      <c r="B17" s="666" t="s">
        <v>75</v>
      </c>
      <c r="C17" s="666" t="s">
        <v>76</v>
      </c>
      <c r="D17" s="666" t="s">
        <v>77</v>
      </c>
      <c r="E17" s="666" t="s">
        <v>78</v>
      </c>
      <c r="F17" s="666" t="s">
        <v>79</v>
      </c>
      <c r="G17" s="666" t="s">
        <v>80</v>
      </c>
      <c r="H17" s="666" t="s">
        <v>81</v>
      </c>
    </row>
    <row r="18" spans="1:8" ht="26">
      <c r="B18" s="670" t="s">
        <v>1007</v>
      </c>
      <c r="C18" s="706" t="s">
        <v>21</v>
      </c>
      <c r="D18" s="706" t="s">
        <v>1040</v>
      </c>
      <c r="E18" s="706" t="s">
        <v>993</v>
      </c>
      <c r="F18" s="706" t="s">
        <v>994</v>
      </c>
      <c r="G18" s="706" t="s">
        <v>995</v>
      </c>
      <c r="H18" s="706" t="s">
        <v>1041</v>
      </c>
    </row>
    <row r="19" spans="1:8" ht="30" customHeight="1">
      <c r="A19" s="664">
        <f>A12+1</f>
        <v>5</v>
      </c>
      <c r="B19" s="707"/>
      <c r="C19" s="708"/>
      <c r="D19" s="709"/>
      <c r="E19" s="709"/>
      <c r="F19" s="709"/>
      <c r="G19" s="709"/>
      <c r="H19" s="710"/>
    </row>
    <row r="20" spans="1:8" ht="30" customHeight="1">
      <c r="A20" s="664">
        <f t="shared" ref="A20:A32" si="0">+A19+1</f>
        <v>6</v>
      </c>
      <c r="B20" s="711"/>
      <c r="C20" s="708"/>
      <c r="D20" s="709"/>
      <c r="E20" s="709"/>
      <c r="F20" s="709"/>
      <c r="G20" s="709"/>
      <c r="H20" s="710"/>
    </row>
    <row r="21" spans="1:8" ht="30" customHeight="1">
      <c r="A21" s="664">
        <f t="shared" si="0"/>
        <v>7</v>
      </c>
      <c r="B21" s="711"/>
      <c r="C21" s="708"/>
      <c r="D21" s="709"/>
      <c r="E21" s="709"/>
      <c r="F21" s="709"/>
      <c r="G21" s="709"/>
      <c r="H21" s="710"/>
    </row>
    <row r="22" spans="1:8" ht="30" customHeight="1">
      <c r="A22" s="664">
        <f t="shared" si="0"/>
        <v>8</v>
      </c>
      <c r="B22" s="711"/>
      <c r="C22" s="708"/>
      <c r="D22" s="709"/>
      <c r="E22" s="709"/>
      <c r="F22" s="709"/>
      <c r="G22" s="709"/>
      <c r="H22" s="710"/>
    </row>
    <row r="23" spans="1:8" ht="30" customHeight="1">
      <c r="A23" s="664">
        <f t="shared" si="0"/>
        <v>9</v>
      </c>
      <c r="B23" s="711"/>
      <c r="C23" s="708"/>
      <c r="D23" s="709"/>
      <c r="E23" s="709"/>
      <c r="F23" s="709"/>
      <c r="G23" s="709"/>
      <c r="H23" s="710"/>
    </row>
    <row r="24" spans="1:8" ht="30" customHeight="1">
      <c r="A24" s="664">
        <f t="shared" si="0"/>
        <v>10</v>
      </c>
      <c r="B24" s="711"/>
      <c r="C24" s="708"/>
      <c r="D24" s="709"/>
      <c r="E24" s="709"/>
      <c r="F24" s="709"/>
      <c r="G24" s="709"/>
      <c r="H24" s="710"/>
    </row>
    <row r="25" spans="1:8" ht="30" customHeight="1">
      <c r="A25" s="664">
        <f t="shared" si="0"/>
        <v>11</v>
      </c>
      <c r="B25" s="711"/>
      <c r="C25" s="708"/>
      <c r="D25" s="709"/>
      <c r="E25" s="709"/>
      <c r="F25" s="709"/>
      <c r="G25" s="709"/>
      <c r="H25" s="710"/>
    </row>
    <row r="26" spans="1:8" ht="30" customHeight="1">
      <c r="A26" s="664">
        <f t="shared" si="0"/>
        <v>12</v>
      </c>
      <c r="B26" s="787" t="s">
        <v>1112</v>
      </c>
      <c r="C26" s="708">
        <f>E26</f>
        <v>0</v>
      </c>
      <c r="D26" s="712"/>
      <c r="E26" s="709"/>
      <c r="F26" s="709"/>
      <c r="G26" s="709"/>
      <c r="H26" s="710"/>
    </row>
    <row r="27" spans="1:8" ht="30" customHeight="1">
      <c r="A27" s="664">
        <f t="shared" si="0"/>
        <v>13</v>
      </c>
      <c r="B27" s="787" t="s">
        <v>1113</v>
      </c>
      <c r="C27" s="708">
        <f>E27</f>
        <v>0</v>
      </c>
      <c r="D27" s="709"/>
      <c r="E27" s="709">
        <v>0</v>
      </c>
      <c r="F27" s="709"/>
      <c r="G27" s="709"/>
      <c r="H27" s="710"/>
    </row>
    <row r="28" spans="1:8" ht="30" customHeight="1">
      <c r="A28" s="664">
        <f t="shared" si="0"/>
        <v>14</v>
      </c>
      <c r="B28" s="713" t="s">
        <v>1042</v>
      </c>
      <c r="C28" s="714">
        <f>E28</f>
        <v>-12723.165763105524</v>
      </c>
      <c r="D28" s="714"/>
      <c r="E28" s="714">
        <f>'GLHP Taxes'!K18</f>
        <v>-12723.165763105524</v>
      </c>
      <c r="F28" s="714"/>
      <c r="G28" s="714"/>
      <c r="H28" s="715" t="s">
        <v>1043</v>
      </c>
    </row>
    <row r="29" spans="1:8" ht="20.149999999999999" customHeight="1">
      <c r="A29" s="664">
        <f t="shared" si="0"/>
        <v>15</v>
      </c>
      <c r="B29" s="716" t="s">
        <v>1044</v>
      </c>
      <c r="C29" s="717">
        <f>SUBTOTAL(9,C19:C28)</f>
        <v>-12723.165763105524</v>
      </c>
      <c r="D29" s="718">
        <f>SUM(D19:D28)</f>
        <v>0</v>
      </c>
      <c r="E29" s="718">
        <f>SUM(E19:E28)</f>
        <v>-12723.165763105524</v>
      </c>
      <c r="F29" s="718">
        <f>SUM(F19:F28)</f>
        <v>0</v>
      </c>
      <c r="G29" s="718">
        <f>SUM(G19:G28)</f>
        <v>0</v>
      </c>
      <c r="H29" s="719"/>
    </row>
    <row r="30" spans="1:8" ht="20.149999999999999" customHeight="1">
      <c r="A30" s="664">
        <f t="shared" si="0"/>
        <v>16</v>
      </c>
      <c r="B30" s="720" t="s">
        <v>1045</v>
      </c>
      <c r="C30" s="721"/>
      <c r="D30" s="721"/>
      <c r="E30" s="721"/>
      <c r="F30" s="722"/>
      <c r="G30" s="723"/>
      <c r="H30" s="710"/>
    </row>
    <row r="31" spans="1:8" ht="20.149999999999999" customHeight="1">
      <c r="A31" s="664">
        <f t="shared" si="0"/>
        <v>17</v>
      </c>
      <c r="B31" s="724" t="s">
        <v>1046</v>
      </c>
      <c r="C31" s="725"/>
      <c r="D31" s="725"/>
      <c r="E31" s="725"/>
      <c r="F31" s="725"/>
      <c r="G31" s="725"/>
      <c r="H31" s="726"/>
    </row>
    <row r="32" spans="1:8" ht="20.149999999999999" customHeight="1" thickBot="1">
      <c r="A32" s="664">
        <f t="shared" si="0"/>
        <v>18</v>
      </c>
      <c r="B32" s="727" t="s">
        <v>21</v>
      </c>
      <c r="C32" s="728">
        <f>+C29-C30-C31</f>
        <v>-12723.165763105524</v>
      </c>
      <c r="D32" s="728">
        <f>+D29-D30-D31</f>
        <v>0</v>
      </c>
      <c r="E32" s="728">
        <f>+E29-E30-E31</f>
        <v>-12723.165763105524</v>
      </c>
      <c r="F32" s="728">
        <f>+F29-F30-F31</f>
        <v>0</v>
      </c>
      <c r="G32" s="728">
        <f>+G29-G30-G31</f>
        <v>0</v>
      </c>
      <c r="H32" s="729"/>
    </row>
    <row r="33" spans="1:8" ht="20.149999999999999" customHeight="1" thickTop="1">
      <c r="B33" s="664" t="s">
        <v>1047</v>
      </c>
      <c r="C33" s="705"/>
      <c r="D33" s="730"/>
      <c r="E33" s="666"/>
      <c r="G33" s="731"/>
    </row>
    <row r="34" spans="1:8" ht="20.149999999999999" customHeight="1">
      <c r="B34" s="982" t="s">
        <v>1048</v>
      </c>
      <c r="C34" s="982"/>
      <c r="D34" s="982"/>
      <c r="E34" s="982"/>
      <c r="F34" s="982"/>
      <c r="G34" s="982"/>
    </row>
    <row r="35" spans="1:8" ht="20.149999999999999" customHeight="1">
      <c r="B35" s="670" t="s">
        <v>1049</v>
      </c>
      <c r="F35" s="666"/>
      <c r="G35" s="666"/>
    </row>
    <row r="36" spans="1:8" ht="20.149999999999999" customHeight="1">
      <c r="B36" s="670" t="s">
        <v>1050</v>
      </c>
      <c r="F36" s="666"/>
      <c r="G36" s="666"/>
    </row>
    <row r="37" spans="1:8" ht="20.149999999999999" customHeight="1">
      <c r="B37" s="670" t="s">
        <v>1051</v>
      </c>
      <c r="F37" s="666"/>
      <c r="G37" s="666"/>
    </row>
    <row r="38" spans="1:8" ht="35.25" customHeight="1">
      <c r="B38" s="982" t="s">
        <v>1052</v>
      </c>
      <c r="C38" s="982"/>
      <c r="D38" s="982"/>
      <c r="E38" s="982"/>
      <c r="F38" s="982"/>
      <c r="G38" s="982"/>
      <c r="H38" s="732"/>
    </row>
    <row r="39" spans="1:8">
      <c r="B39" s="732"/>
      <c r="C39" s="732"/>
      <c r="D39" s="732"/>
      <c r="E39" s="732"/>
      <c r="F39" s="732"/>
      <c r="G39" s="732"/>
      <c r="H39" s="732"/>
    </row>
    <row r="40" spans="1:8">
      <c r="B40" s="664"/>
    </row>
    <row r="41" spans="1:8">
      <c r="B41" s="666" t="s">
        <v>75</v>
      </c>
      <c r="C41" s="666" t="s">
        <v>76</v>
      </c>
      <c r="D41" s="666" t="s">
        <v>77</v>
      </c>
      <c r="E41" s="666" t="s">
        <v>78</v>
      </c>
      <c r="F41" s="666" t="s">
        <v>79</v>
      </c>
      <c r="G41" s="666" t="s">
        <v>80</v>
      </c>
      <c r="H41" s="666" t="s">
        <v>81</v>
      </c>
    </row>
    <row r="42" spans="1:8" ht="26">
      <c r="B42" s="664" t="s">
        <v>1053</v>
      </c>
      <c r="C42" s="706" t="s">
        <v>21</v>
      </c>
      <c r="D42" s="706" t="s">
        <v>1040</v>
      </c>
      <c r="E42" s="706" t="s">
        <v>993</v>
      </c>
      <c r="F42" s="706" t="s">
        <v>994</v>
      </c>
      <c r="G42" s="706" t="s">
        <v>995</v>
      </c>
      <c r="H42" s="706" t="s">
        <v>1041</v>
      </c>
    </row>
    <row r="43" spans="1:8" ht="30" customHeight="1">
      <c r="A43" s="664">
        <f>A32+1</f>
        <v>19</v>
      </c>
      <c r="B43" s="711"/>
      <c r="C43" s="708"/>
      <c r="D43" s="709"/>
      <c r="E43" s="709"/>
      <c r="F43" s="709"/>
      <c r="G43" s="709"/>
      <c r="H43" s="710"/>
    </row>
    <row r="44" spans="1:8" ht="30" customHeight="1">
      <c r="A44" s="664">
        <f t="shared" ref="A44:A54" si="1">+A43+1</f>
        <v>20</v>
      </c>
      <c r="B44" s="711"/>
      <c r="C44" s="708"/>
      <c r="D44" s="709"/>
      <c r="E44" s="709"/>
      <c r="F44" s="709"/>
      <c r="G44" s="709"/>
      <c r="H44" s="710"/>
    </row>
    <row r="45" spans="1:8" ht="30" customHeight="1">
      <c r="A45" s="664">
        <f t="shared" si="1"/>
        <v>21</v>
      </c>
      <c r="B45" s="711"/>
      <c r="C45" s="708"/>
      <c r="D45" s="709"/>
      <c r="E45" s="709"/>
      <c r="F45" s="709"/>
      <c r="G45" s="709"/>
      <c r="H45" s="710"/>
    </row>
    <row r="46" spans="1:8" ht="30" customHeight="1">
      <c r="A46" s="664">
        <f t="shared" si="1"/>
        <v>22</v>
      </c>
      <c r="B46" s="711"/>
      <c r="C46" s="709"/>
      <c r="D46" s="709"/>
      <c r="E46" s="709"/>
      <c r="F46" s="709"/>
      <c r="G46" s="709"/>
      <c r="H46" s="710"/>
    </row>
    <row r="47" spans="1:8" ht="30" customHeight="1">
      <c r="A47" s="664">
        <f t="shared" si="1"/>
        <v>23</v>
      </c>
      <c r="B47" s="711"/>
      <c r="C47" s="709"/>
      <c r="D47" s="709"/>
      <c r="E47" s="709"/>
      <c r="F47" s="709"/>
      <c r="G47" s="709"/>
      <c r="H47" s="710"/>
    </row>
    <row r="48" spans="1:8" ht="30" customHeight="1">
      <c r="A48" s="664">
        <f t="shared" si="1"/>
        <v>24</v>
      </c>
      <c r="B48" s="787" t="s">
        <v>1112</v>
      </c>
      <c r="C48" s="733">
        <f>E48</f>
        <v>0</v>
      </c>
      <c r="D48" s="733"/>
      <c r="E48" s="733"/>
      <c r="F48" s="733"/>
      <c r="G48" s="733"/>
      <c r="H48" s="710"/>
    </row>
    <row r="49" spans="1:8" ht="30" customHeight="1">
      <c r="A49" s="664">
        <f t="shared" si="1"/>
        <v>25</v>
      </c>
      <c r="B49" s="787" t="s">
        <v>1113</v>
      </c>
      <c r="C49" s="733">
        <f>E49</f>
        <v>0</v>
      </c>
      <c r="D49" s="733"/>
      <c r="E49" s="733">
        <v>0</v>
      </c>
      <c r="F49" s="733"/>
      <c r="G49" s="733"/>
      <c r="H49" s="710"/>
    </row>
    <row r="50" spans="1:8" ht="30" customHeight="1">
      <c r="A50" s="664">
        <f t="shared" si="1"/>
        <v>26</v>
      </c>
      <c r="B50" s="747" t="s">
        <v>1114</v>
      </c>
      <c r="C50" s="748">
        <f>E50</f>
        <v>-1718231.4627663651</v>
      </c>
      <c r="D50" s="748"/>
      <c r="E50" s="748">
        <f>'GLHP Taxes'!K37</f>
        <v>-1718231.4627663651</v>
      </c>
      <c r="F50" s="748"/>
      <c r="G50" s="748"/>
      <c r="H50" s="715"/>
    </row>
    <row r="51" spans="1:8" ht="20.149999999999999" customHeight="1">
      <c r="A51" s="664">
        <f t="shared" si="1"/>
        <v>27</v>
      </c>
      <c r="B51" s="734" t="s">
        <v>1054</v>
      </c>
      <c r="C51" s="718">
        <f>SUBTOTAL(9,C43:C50)</f>
        <v>-1718231.4627663651</v>
      </c>
      <c r="D51" s="718">
        <f>SUM(D43:D50)</f>
        <v>0</v>
      </c>
      <c r="E51" s="718">
        <f>SUM(E43:E50)</f>
        <v>-1718231.4627663651</v>
      </c>
      <c r="F51" s="718">
        <f>SUM(F43:F50)</f>
        <v>0</v>
      </c>
      <c r="G51" s="718">
        <f>SUM(G43:G50)</f>
        <v>0</v>
      </c>
      <c r="H51" s="719"/>
    </row>
    <row r="52" spans="1:8" ht="20.149999999999999" customHeight="1">
      <c r="A52" s="664">
        <f t="shared" si="1"/>
        <v>28</v>
      </c>
      <c r="B52" s="734" t="s">
        <v>1045</v>
      </c>
      <c r="C52" s="721"/>
      <c r="D52" s="721"/>
      <c r="E52" s="721"/>
      <c r="F52" s="721"/>
      <c r="G52" s="721"/>
      <c r="H52" s="710"/>
    </row>
    <row r="53" spans="1:8" ht="20.149999999999999" customHeight="1">
      <c r="A53" s="664">
        <f t="shared" si="1"/>
        <v>29</v>
      </c>
      <c r="B53" s="735" t="s">
        <v>1046</v>
      </c>
      <c r="C53" s="725"/>
      <c r="D53" s="725"/>
      <c r="E53" s="725"/>
      <c r="F53" s="725"/>
      <c r="G53" s="725"/>
      <c r="H53" s="726"/>
    </row>
    <row r="54" spans="1:8" ht="20.149999999999999" customHeight="1" thickBot="1">
      <c r="A54" s="664">
        <f t="shared" si="1"/>
        <v>30</v>
      </c>
      <c r="B54" s="727" t="s">
        <v>21</v>
      </c>
      <c r="C54" s="728">
        <f>+C51-C52-C53</f>
        <v>-1718231.4627663651</v>
      </c>
      <c r="D54" s="728">
        <f>+D51-D52-D53</f>
        <v>0</v>
      </c>
      <c r="E54" s="728">
        <f>+E51-E52-E53</f>
        <v>-1718231.4627663651</v>
      </c>
      <c r="F54" s="728">
        <f>+F51-F52-F53</f>
        <v>0</v>
      </c>
      <c r="G54" s="728">
        <f>+G51-G52-G53</f>
        <v>0</v>
      </c>
      <c r="H54" s="729"/>
    </row>
    <row r="55" spans="1:8" ht="20.149999999999999" customHeight="1" thickTop="1">
      <c r="B55" s="664" t="s">
        <v>1055</v>
      </c>
      <c r="D55" s="666"/>
      <c r="E55" s="730"/>
      <c r="G55" s="732"/>
    </row>
    <row r="56" spans="1:8" ht="20.149999999999999" customHeight="1">
      <c r="B56" s="982" t="s">
        <v>1048</v>
      </c>
      <c r="C56" s="982"/>
      <c r="D56" s="982"/>
      <c r="E56" s="982"/>
      <c r="F56" s="982"/>
      <c r="G56" s="982"/>
    </row>
    <row r="57" spans="1:8" ht="20.149999999999999" customHeight="1">
      <c r="B57" s="670" t="s">
        <v>1049</v>
      </c>
      <c r="F57" s="666"/>
      <c r="G57" s="666"/>
    </row>
    <row r="58" spans="1:8" ht="20.149999999999999" customHeight="1">
      <c r="B58" s="670" t="s">
        <v>1050</v>
      </c>
      <c r="F58" s="666"/>
      <c r="G58" s="666"/>
    </row>
    <row r="59" spans="1:8" ht="20.149999999999999" customHeight="1">
      <c r="B59" s="670" t="s">
        <v>1051</v>
      </c>
      <c r="F59" s="666"/>
      <c r="G59" s="666"/>
    </row>
    <row r="60" spans="1:8" ht="35.15" customHeight="1">
      <c r="B60" s="982" t="s">
        <v>1052</v>
      </c>
      <c r="C60" s="982"/>
      <c r="D60" s="982"/>
      <c r="E60" s="982"/>
      <c r="F60" s="982"/>
      <c r="G60" s="982"/>
      <c r="H60" s="732"/>
    </row>
    <row r="61" spans="1:8">
      <c r="H61" s="732"/>
    </row>
    <row r="62" spans="1:8">
      <c r="H62" s="732"/>
    </row>
    <row r="63" spans="1:8">
      <c r="B63" s="666" t="s">
        <v>75</v>
      </c>
      <c r="C63" s="666" t="s">
        <v>76</v>
      </c>
      <c r="D63" s="666" t="s">
        <v>77</v>
      </c>
      <c r="E63" s="666" t="s">
        <v>78</v>
      </c>
      <c r="F63" s="666" t="s">
        <v>79</v>
      </c>
      <c r="G63" s="666" t="s">
        <v>80</v>
      </c>
      <c r="H63" s="666" t="s">
        <v>81</v>
      </c>
    </row>
    <row r="64" spans="1:8" ht="26">
      <c r="B64" s="664" t="s">
        <v>1056</v>
      </c>
      <c r="C64" s="706" t="s">
        <v>21</v>
      </c>
      <c r="D64" s="706" t="s">
        <v>1040</v>
      </c>
      <c r="E64" s="706" t="s">
        <v>993</v>
      </c>
      <c r="F64" s="706" t="s">
        <v>994</v>
      </c>
      <c r="G64" s="706" t="s">
        <v>995</v>
      </c>
      <c r="H64" s="706" t="s">
        <v>1041</v>
      </c>
    </row>
    <row r="65" spans="1:10" ht="30" customHeight="1">
      <c r="A65" s="664">
        <f>A54+1</f>
        <v>31</v>
      </c>
      <c r="B65" s="736"/>
      <c r="C65" s="708"/>
      <c r="D65" s="709"/>
      <c r="E65" s="709"/>
      <c r="F65" s="709"/>
      <c r="G65" s="709"/>
      <c r="H65" s="710"/>
    </row>
    <row r="66" spans="1:10" ht="30" customHeight="1">
      <c r="A66" s="664">
        <f t="shared" ref="A66:A78" si="2">+A65+1</f>
        <v>32</v>
      </c>
      <c r="B66" s="711"/>
      <c r="C66" s="708"/>
      <c r="D66" s="709"/>
      <c r="E66" s="709"/>
      <c r="F66" s="709"/>
      <c r="G66" s="709"/>
      <c r="H66" s="710"/>
      <c r="J66" s="737"/>
    </row>
    <row r="67" spans="1:10" ht="30" customHeight="1">
      <c r="A67" s="664">
        <f t="shared" si="2"/>
        <v>33</v>
      </c>
      <c r="B67" s="711"/>
      <c r="C67" s="708"/>
      <c r="D67" s="709"/>
      <c r="E67" s="709"/>
      <c r="F67" s="709"/>
      <c r="G67" s="709"/>
      <c r="H67" s="710"/>
    </row>
    <row r="68" spans="1:10" ht="30" customHeight="1">
      <c r="A68" s="664">
        <f t="shared" si="2"/>
        <v>34</v>
      </c>
      <c r="B68" s="711"/>
      <c r="C68" s="708"/>
      <c r="D68" s="709"/>
      <c r="E68" s="709"/>
      <c r="F68" s="709"/>
      <c r="G68" s="709"/>
      <c r="H68" s="710"/>
    </row>
    <row r="69" spans="1:10" ht="30" customHeight="1">
      <c r="A69" s="664">
        <f t="shared" si="2"/>
        <v>35</v>
      </c>
      <c r="B69" s="711"/>
      <c r="C69" s="709"/>
      <c r="D69" s="733"/>
      <c r="E69" s="709"/>
      <c r="F69" s="709"/>
      <c r="G69" s="709"/>
      <c r="H69" s="710"/>
    </row>
    <row r="70" spans="1:10" ht="30" customHeight="1">
      <c r="A70" s="664">
        <f t="shared" si="2"/>
        <v>36</v>
      </c>
      <c r="B70" s="711"/>
      <c r="C70" s="709"/>
      <c r="D70" s="733"/>
      <c r="E70" s="709"/>
      <c r="F70" s="709"/>
      <c r="G70" s="709"/>
      <c r="H70" s="710"/>
    </row>
    <row r="71" spans="1:10" ht="30" customHeight="1">
      <c r="A71" s="664">
        <f t="shared" si="2"/>
        <v>37</v>
      </c>
      <c r="B71" s="711"/>
      <c r="C71" s="709"/>
      <c r="D71" s="733"/>
      <c r="E71" s="709"/>
      <c r="F71" s="709"/>
      <c r="G71" s="709"/>
      <c r="H71" s="710"/>
    </row>
    <row r="72" spans="1:10" ht="30" customHeight="1">
      <c r="A72" s="664">
        <f t="shared" si="2"/>
        <v>38</v>
      </c>
      <c r="B72" s="787" t="s">
        <v>1112</v>
      </c>
      <c r="C72" s="709">
        <f>E72</f>
        <v>0</v>
      </c>
      <c r="D72" s="712"/>
      <c r="E72" s="709">
        <v>0</v>
      </c>
      <c r="F72" s="709"/>
      <c r="G72" s="709"/>
      <c r="H72" s="710"/>
    </row>
    <row r="73" spans="1:10" ht="30" customHeight="1">
      <c r="A73" s="664">
        <f t="shared" si="2"/>
        <v>39</v>
      </c>
      <c r="B73" s="787" t="s">
        <v>1113</v>
      </c>
      <c r="C73" s="709">
        <f>E73</f>
        <v>0</v>
      </c>
      <c r="D73" s="709"/>
      <c r="E73" s="709"/>
      <c r="F73" s="709"/>
      <c r="G73" s="709"/>
      <c r="H73" s="710"/>
    </row>
    <row r="74" spans="1:10" ht="30" customHeight="1">
      <c r="A74" s="664">
        <f t="shared" si="2"/>
        <v>40</v>
      </c>
      <c r="B74" s="713" t="s">
        <v>1114</v>
      </c>
      <c r="C74" s="738">
        <f>E74</f>
        <v>-159638.84738990734</v>
      </c>
      <c r="D74" s="738"/>
      <c r="E74" s="738">
        <f>'GLHP Taxes'!K46</f>
        <v>-159638.84738990734</v>
      </c>
      <c r="F74" s="738"/>
      <c r="G74" s="738"/>
      <c r="H74" s="715" t="s">
        <v>1043</v>
      </c>
    </row>
    <row r="75" spans="1:10" ht="20.149999999999999" customHeight="1">
      <c r="A75" s="664">
        <f t="shared" si="2"/>
        <v>41</v>
      </c>
      <c r="B75" s="716" t="s">
        <v>1057</v>
      </c>
      <c r="C75" s="717">
        <f>SUBTOTAL(9,C65:C74)</f>
        <v>-159638.84738990734</v>
      </c>
      <c r="D75" s="717">
        <f>SUM(D65:D74)</f>
        <v>0</v>
      </c>
      <c r="E75" s="717">
        <f>SUM(E65:E74)</f>
        <v>-159638.84738990734</v>
      </c>
      <c r="F75" s="717">
        <f>SUM(F65:F74)</f>
        <v>0</v>
      </c>
      <c r="G75" s="717">
        <f>SUM(G65:G74)</f>
        <v>0</v>
      </c>
      <c r="H75" s="710"/>
    </row>
    <row r="76" spans="1:10" ht="20.149999999999999" customHeight="1">
      <c r="A76" s="664">
        <f t="shared" si="2"/>
        <v>42</v>
      </c>
      <c r="B76" s="716" t="s">
        <v>1045</v>
      </c>
      <c r="C76" s="722"/>
      <c r="D76" s="722"/>
      <c r="E76" s="722"/>
      <c r="F76" s="722"/>
      <c r="G76" s="722"/>
      <c r="H76" s="710"/>
    </row>
    <row r="77" spans="1:10" ht="20.149999999999999" customHeight="1">
      <c r="A77" s="664">
        <f t="shared" si="2"/>
        <v>43</v>
      </c>
      <c r="B77" s="739" t="s">
        <v>1046</v>
      </c>
      <c r="C77" s="740"/>
      <c r="D77" s="740"/>
      <c r="E77" s="740"/>
      <c r="F77" s="740"/>
      <c r="G77" s="740"/>
      <c r="H77" s="726"/>
    </row>
    <row r="78" spans="1:10" ht="20.149999999999999" customHeight="1" thickBot="1">
      <c r="A78" s="664">
        <f t="shared" si="2"/>
        <v>44</v>
      </c>
      <c r="B78" s="727" t="s">
        <v>21</v>
      </c>
      <c r="C78" s="741">
        <f>+C75-C76-C77</f>
        <v>-159638.84738990734</v>
      </c>
      <c r="D78" s="741">
        <f>+D75-D76-D77</f>
        <v>0</v>
      </c>
      <c r="E78" s="741">
        <f>+E75-E76-E77</f>
        <v>-159638.84738990734</v>
      </c>
      <c r="F78" s="741">
        <f>+F75-F76-F77</f>
        <v>0</v>
      </c>
      <c r="G78" s="741">
        <f>+G75-G76-G77</f>
        <v>0</v>
      </c>
      <c r="H78" s="729"/>
    </row>
    <row r="79" spans="1:10" ht="20.149999999999999" customHeight="1" thickTop="1">
      <c r="B79" s="664" t="s">
        <v>1058</v>
      </c>
      <c r="E79" s="666"/>
      <c r="F79" s="666"/>
      <c r="H79" s="742"/>
    </row>
    <row r="80" spans="1:10" ht="20.149999999999999" customHeight="1">
      <c r="B80" s="982" t="s">
        <v>1048</v>
      </c>
      <c r="C80" s="982"/>
      <c r="D80" s="982"/>
      <c r="E80" s="982"/>
      <c r="F80" s="982"/>
      <c r="G80" s="982"/>
    </row>
    <row r="81" spans="2:9" ht="20.149999999999999" customHeight="1">
      <c r="B81" s="670" t="s">
        <v>1049</v>
      </c>
      <c r="F81" s="666"/>
      <c r="G81" s="666"/>
    </row>
    <row r="82" spans="2:9" ht="20.149999999999999" customHeight="1">
      <c r="B82" s="670" t="s">
        <v>1050</v>
      </c>
      <c r="F82" s="666"/>
      <c r="G82" s="666"/>
    </row>
    <row r="83" spans="2:9" ht="20.149999999999999" customHeight="1">
      <c r="B83" s="670" t="s">
        <v>1051</v>
      </c>
      <c r="F83" s="666"/>
      <c r="G83" s="666"/>
    </row>
    <row r="84" spans="2:9" ht="35.15" customHeight="1">
      <c r="B84" s="982" t="s">
        <v>1052</v>
      </c>
      <c r="C84" s="982"/>
      <c r="D84" s="982"/>
      <c r="E84" s="982"/>
      <c r="F84" s="982"/>
      <c r="G84" s="982"/>
    </row>
    <row r="86" spans="2:9" ht="15.75" customHeight="1">
      <c r="B86" s="743"/>
      <c r="C86" s="743"/>
      <c r="D86" s="743"/>
      <c r="E86" s="743"/>
      <c r="F86" s="743"/>
      <c r="G86" s="743"/>
      <c r="H86" s="743"/>
    </row>
    <row r="87" spans="2:9">
      <c r="B87" s="978"/>
      <c r="C87" s="978"/>
      <c r="D87" s="978"/>
      <c r="E87" s="978"/>
      <c r="F87" s="978"/>
      <c r="G87" s="978"/>
      <c r="H87" s="978"/>
    </row>
    <row r="88" spans="2:9">
      <c r="B88" s="664"/>
    </row>
    <row r="89" spans="2:9">
      <c r="B89" s="664"/>
    </row>
    <row r="90" spans="2:9" ht="15.75" customHeight="1">
      <c r="B90" s="664"/>
    </row>
    <row r="91" spans="2:9">
      <c r="B91" s="664"/>
      <c r="D91" s="675"/>
      <c r="E91" s="675"/>
      <c r="F91" s="675"/>
      <c r="G91" s="675"/>
      <c r="H91" s="675"/>
      <c r="I91" s="676"/>
    </row>
    <row r="92" spans="2:9">
      <c r="B92" s="664"/>
      <c r="D92" s="675"/>
      <c r="E92" s="675"/>
      <c r="F92" s="675"/>
      <c r="G92" s="675"/>
      <c r="H92" s="675"/>
      <c r="I92" s="676"/>
    </row>
    <row r="93" spans="2:9">
      <c r="D93" s="666"/>
      <c r="E93" s="666"/>
    </row>
    <row r="94" spans="2:9">
      <c r="D94" s="449"/>
      <c r="E94" s="449"/>
    </row>
    <row r="95" spans="2:9">
      <c r="D95" s="449"/>
      <c r="E95" s="449"/>
    </row>
    <row r="96" spans="2:9">
      <c r="D96" s="449"/>
      <c r="E96" s="449"/>
    </row>
    <row r="97" spans="2:5">
      <c r="D97" s="449"/>
      <c r="E97" s="449"/>
    </row>
    <row r="98" spans="2:5">
      <c r="D98" s="449"/>
      <c r="E98" s="449"/>
    </row>
    <row r="99" spans="2:5">
      <c r="D99" s="449"/>
      <c r="E99" s="449"/>
    </row>
    <row r="100" spans="2:5">
      <c r="D100" s="449"/>
      <c r="E100" s="449"/>
    </row>
    <row r="101" spans="2:5">
      <c r="D101" s="449"/>
      <c r="E101" s="449"/>
    </row>
    <row r="102" spans="2:5">
      <c r="D102" s="449"/>
      <c r="E102" s="449"/>
    </row>
    <row r="103" spans="2:5">
      <c r="D103" s="449"/>
      <c r="E103" s="449"/>
    </row>
    <row r="104" spans="2:5">
      <c r="B104" s="664"/>
      <c r="D104" s="449"/>
      <c r="E104" s="449"/>
    </row>
    <row r="105" spans="2:5">
      <c r="D105" s="449"/>
      <c r="E105" s="449"/>
    </row>
    <row r="106" spans="2:5">
      <c r="B106" s="664"/>
      <c r="D106" s="449"/>
      <c r="E106" s="449"/>
    </row>
    <row r="210" spans="9:9">
      <c r="I210" s="677"/>
    </row>
  </sheetData>
  <mergeCells count="11">
    <mergeCell ref="B38:G38"/>
    <mergeCell ref="B1:H1"/>
    <mergeCell ref="B2:H2"/>
    <mergeCell ref="B3:H3"/>
    <mergeCell ref="B15:H15"/>
    <mergeCell ref="B34:G34"/>
    <mergeCell ref="B56:G56"/>
    <mergeCell ref="B60:G60"/>
    <mergeCell ref="B80:G80"/>
    <mergeCell ref="B84:G84"/>
    <mergeCell ref="B87:H87"/>
  </mergeCells>
  <printOptions horizontalCentered="1"/>
  <pageMargins left="0.5" right="0.5" top="0.5" bottom="0.5" header="0.3" footer="0.3"/>
  <pageSetup scale="51" fitToHeight="0" orientation="landscape" r:id="rId1"/>
  <headerFooter alignWithMargins="0"/>
  <rowBreaks count="2" manualBreakCount="2">
    <brk id="40" max="16383" man="1"/>
    <brk id="84" max="16383" man="1"/>
  </rowBreaks>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U210"/>
  <sheetViews>
    <sheetView zoomScale="70" zoomScaleNormal="70" workbookViewId="0"/>
  </sheetViews>
  <sheetFormatPr defaultColWidth="8.84375" defaultRowHeight="13"/>
  <cols>
    <col min="1" max="1" width="5.07421875" style="664" customWidth="1"/>
    <col min="2" max="2" width="49.3046875" style="670" customWidth="1"/>
    <col min="3" max="3" width="22.07421875" style="664" customWidth="1"/>
    <col min="4" max="4" width="15.07421875" style="664" customWidth="1"/>
    <col min="5" max="5" width="12.53515625" style="664" customWidth="1"/>
    <col min="6" max="6" width="11.53515625" style="664" customWidth="1"/>
    <col min="7" max="7" width="14.84375" style="664" customWidth="1"/>
    <col min="8" max="8" width="79.4609375" style="664" customWidth="1"/>
    <col min="9" max="16384" width="8.84375" style="664"/>
  </cols>
  <sheetData>
    <row r="1" spans="1:21">
      <c r="B1" s="978" t="s">
        <v>1059</v>
      </c>
      <c r="C1" s="978"/>
      <c r="D1" s="978"/>
      <c r="E1" s="978"/>
      <c r="F1" s="978"/>
      <c r="G1" s="978"/>
      <c r="H1" s="978"/>
    </row>
    <row r="2" spans="1:21">
      <c r="B2" s="978" t="s">
        <v>1276</v>
      </c>
      <c r="C2" s="984"/>
      <c r="D2" s="984"/>
      <c r="E2" s="984"/>
      <c r="F2" s="984"/>
      <c r="G2" s="984"/>
      <c r="H2" s="984"/>
    </row>
    <row r="3" spans="1:21">
      <c r="B3" s="978"/>
      <c r="C3" s="978"/>
      <c r="D3" s="978"/>
      <c r="E3" s="978"/>
      <c r="F3" s="978"/>
      <c r="G3" s="978"/>
      <c r="H3" s="979"/>
    </row>
    <row r="5" spans="1:21">
      <c r="D5" s="666"/>
      <c r="E5" s="666"/>
      <c r="G5" s="666"/>
    </row>
    <row r="6" spans="1:21">
      <c r="D6" s="666"/>
      <c r="E6" s="666"/>
      <c r="F6" s="666"/>
      <c r="G6" s="666"/>
      <c r="U6" s="666"/>
    </row>
    <row r="7" spans="1:21" ht="34.5" customHeight="1">
      <c r="A7" s="702" t="s">
        <v>990</v>
      </c>
      <c r="B7" s="702" t="s">
        <v>1033</v>
      </c>
      <c r="C7" s="703"/>
      <c r="D7" s="703"/>
      <c r="E7" s="704" t="s">
        <v>993</v>
      </c>
      <c r="F7" s="704" t="s">
        <v>994</v>
      </c>
      <c r="G7" s="704" t="s">
        <v>995</v>
      </c>
      <c r="H7" s="703"/>
      <c r="U7" s="666"/>
    </row>
    <row r="8" spans="1:21">
      <c r="A8" s="671"/>
      <c r="L8" s="545"/>
    </row>
    <row r="9" spans="1:21" ht="20.149999999999999" customHeight="1">
      <c r="A9" s="671">
        <v>1</v>
      </c>
      <c r="B9" s="664" t="s">
        <v>1053</v>
      </c>
      <c r="E9" s="124">
        <f>+E54</f>
        <v>-1886555.9682185801</v>
      </c>
      <c r="F9" s="124">
        <f>+F54</f>
        <v>0</v>
      </c>
      <c r="G9" s="124">
        <f>+G54</f>
        <v>0</v>
      </c>
      <c r="H9" s="664" t="s">
        <v>1034</v>
      </c>
    </row>
    <row r="10" spans="1:21" ht="20.149999999999999" customHeight="1">
      <c r="A10" s="671">
        <f>+A9+1</f>
        <v>2</v>
      </c>
      <c r="B10" s="664" t="s">
        <v>1005</v>
      </c>
      <c r="E10" s="124">
        <f>+E78</f>
        <v>-159638.84738990734</v>
      </c>
      <c r="F10" s="124">
        <f>+F78</f>
        <v>0</v>
      </c>
      <c r="G10" s="124">
        <f>+G78</f>
        <v>0</v>
      </c>
      <c r="H10" s="664" t="s">
        <v>1035</v>
      </c>
    </row>
    <row r="11" spans="1:21" ht="20.149999999999999" customHeight="1">
      <c r="A11" s="671">
        <f>+A10+1</f>
        <v>3</v>
      </c>
      <c r="B11" s="664" t="s">
        <v>1007</v>
      </c>
      <c r="E11" s="124">
        <f>E32</f>
        <v>-13245.664388054392</v>
      </c>
      <c r="F11" s="124">
        <f>F32</f>
        <v>0</v>
      </c>
      <c r="G11" s="124">
        <f>G32</f>
        <v>0</v>
      </c>
      <c r="H11" s="664" t="s">
        <v>1036</v>
      </c>
    </row>
    <row r="12" spans="1:21" ht="20.149999999999999" customHeight="1">
      <c r="A12" s="671">
        <f>+A11+1</f>
        <v>4</v>
      </c>
      <c r="B12" s="664" t="s">
        <v>1037</v>
      </c>
      <c r="E12" s="124">
        <f>SUM(E9:E11)</f>
        <v>-2059440.4799965417</v>
      </c>
      <c r="F12" s="124">
        <f>SUM(F9:F11)</f>
        <v>0</v>
      </c>
      <c r="G12" s="124">
        <f>SUM(G9:G11)</f>
        <v>0</v>
      </c>
      <c r="H12" s="705" t="s">
        <v>1038</v>
      </c>
    </row>
    <row r="13" spans="1:21">
      <c r="A13" s="671"/>
      <c r="B13" s="664"/>
      <c r="D13" s="705"/>
      <c r="H13" s="618"/>
    </row>
    <row r="14" spans="1:21">
      <c r="A14" s="671"/>
      <c r="B14" s="664"/>
      <c r="H14" s="672"/>
    </row>
    <row r="15" spans="1:21">
      <c r="A15" s="671"/>
      <c r="B15" s="983" t="s">
        <v>1060</v>
      </c>
      <c r="C15" s="983"/>
      <c r="D15" s="983"/>
      <c r="E15" s="983"/>
      <c r="F15" s="983"/>
      <c r="G15" s="983"/>
      <c r="H15" s="983"/>
    </row>
    <row r="16" spans="1:21">
      <c r="A16" s="671"/>
    </row>
    <row r="17" spans="1:8">
      <c r="A17" s="671"/>
      <c r="B17" s="666" t="s">
        <v>75</v>
      </c>
      <c r="C17" s="666" t="s">
        <v>76</v>
      </c>
      <c r="D17" s="666" t="s">
        <v>77</v>
      </c>
      <c r="E17" s="666" t="s">
        <v>78</v>
      </c>
      <c r="F17" s="666" t="s">
        <v>79</v>
      </c>
      <c r="G17" s="666" t="s">
        <v>80</v>
      </c>
      <c r="H17" s="666" t="s">
        <v>81</v>
      </c>
    </row>
    <row r="18" spans="1:8" ht="26">
      <c r="A18" s="671"/>
      <c r="B18" s="670" t="s">
        <v>1007</v>
      </c>
      <c r="C18" s="706" t="s">
        <v>21</v>
      </c>
      <c r="D18" s="706" t="s">
        <v>1040</v>
      </c>
      <c r="E18" s="706" t="s">
        <v>993</v>
      </c>
      <c r="F18" s="706" t="s">
        <v>994</v>
      </c>
      <c r="G18" s="706" t="s">
        <v>995</v>
      </c>
      <c r="H18" s="706" t="s">
        <v>1041</v>
      </c>
    </row>
    <row r="19" spans="1:8" ht="30" customHeight="1">
      <c r="A19" s="671">
        <f>A12+1</f>
        <v>5</v>
      </c>
      <c r="B19" s="707"/>
      <c r="C19" s="708"/>
      <c r="D19" s="709"/>
      <c r="E19" s="709"/>
      <c r="F19" s="709"/>
      <c r="G19" s="709"/>
      <c r="H19" s="710"/>
    </row>
    <row r="20" spans="1:8" ht="30" customHeight="1">
      <c r="A20" s="671">
        <f t="shared" ref="A20:A32" si="0">+A19+1</f>
        <v>6</v>
      </c>
      <c r="B20" s="711"/>
      <c r="C20" s="708"/>
      <c r="D20" s="709"/>
      <c r="E20" s="709"/>
      <c r="F20" s="709"/>
      <c r="G20" s="709"/>
      <c r="H20" s="710"/>
    </row>
    <row r="21" spans="1:8" ht="30" customHeight="1">
      <c r="A21" s="671">
        <f t="shared" si="0"/>
        <v>7</v>
      </c>
      <c r="B21" s="711"/>
      <c r="C21" s="708"/>
      <c r="D21" s="709"/>
      <c r="E21" s="709"/>
      <c r="F21" s="709"/>
      <c r="G21" s="709"/>
      <c r="H21" s="710"/>
    </row>
    <row r="22" spans="1:8" ht="30" customHeight="1">
      <c r="A22" s="671">
        <f t="shared" si="0"/>
        <v>8</v>
      </c>
      <c r="B22" s="711"/>
      <c r="C22" s="708"/>
      <c r="D22" s="709"/>
      <c r="E22" s="709"/>
      <c r="F22" s="709"/>
      <c r="G22" s="709"/>
      <c r="H22" s="710"/>
    </row>
    <row r="23" spans="1:8" ht="30" customHeight="1">
      <c r="A23" s="671">
        <f t="shared" si="0"/>
        <v>9</v>
      </c>
      <c r="B23" s="711"/>
      <c r="C23" s="708"/>
      <c r="D23" s="709"/>
      <c r="E23" s="709"/>
      <c r="F23" s="709"/>
      <c r="G23" s="709"/>
      <c r="H23" s="710"/>
    </row>
    <row r="24" spans="1:8" ht="30" customHeight="1">
      <c r="A24" s="671">
        <f t="shared" si="0"/>
        <v>10</v>
      </c>
      <c r="B24" s="711"/>
      <c r="C24" s="708"/>
      <c r="D24" s="709"/>
      <c r="E24" s="709"/>
      <c r="F24" s="709"/>
      <c r="G24" s="709"/>
      <c r="H24" s="710"/>
    </row>
    <row r="25" spans="1:8" ht="30" customHeight="1">
      <c r="A25" s="671">
        <f t="shared" si="0"/>
        <v>11</v>
      </c>
      <c r="B25" s="711"/>
      <c r="C25" s="708"/>
      <c r="D25" s="709"/>
      <c r="E25" s="709"/>
      <c r="F25" s="709"/>
      <c r="G25" s="709"/>
      <c r="H25" s="710"/>
    </row>
    <row r="26" spans="1:8" ht="30" customHeight="1">
      <c r="A26" s="671">
        <f t="shared" si="0"/>
        <v>12</v>
      </c>
      <c r="B26" s="787" t="s">
        <v>1112</v>
      </c>
      <c r="C26" s="708">
        <f>E26</f>
        <v>0</v>
      </c>
      <c r="D26" s="712"/>
      <c r="E26" s="709"/>
      <c r="F26" s="709"/>
      <c r="G26" s="709"/>
      <c r="H26" s="710"/>
    </row>
    <row r="27" spans="1:8" ht="30" customHeight="1">
      <c r="A27" s="671">
        <f t="shared" si="0"/>
        <v>13</v>
      </c>
      <c r="B27" s="787" t="s">
        <v>1113</v>
      </c>
      <c r="C27" s="708">
        <f>E27</f>
        <v>0</v>
      </c>
      <c r="D27" s="709"/>
      <c r="E27" s="709">
        <v>0</v>
      </c>
      <c r="F27" s="709"/>
      <c r="G27" s="709"/>
      <c r="H27" s="710"/>
    </row>
    <row r="28" spans="1:8" ht="30" customHeight="1">
      <c r="A28" s="671">
        <f t="shared" si="0"/>
        <v>14</v>
      </c>
      <c r="B28" s="713" t="s">
        <v>1114</v>
      </c>
      <c r="C28" s="714">
        <f>E28</f>
        <v>-13245.664388054392</v>
      </c>
      <c r="D28" s="714"/>
      <c r="E28" s="714">
        <f>'GLHP Taxes'!N18</f>
        <v>-13245.664388054392</v>
      </c>
      <c r="F28" s="714"/>
      <c r="G28" s="714"/>
      <c r="H28" s="715" t="s">
        <v>1043</v>
      </c>
    </row>
    <row r="29" spans="1:8" ht="20.149999999999999" customHeight="1">
      <c r="A29" s="671">
        <f t="shared" si="0"/>
        <v>15</v>
      </c>
      <c r="B29" s="716" t="s">
        <v>1061</v>
      </c>
      <c r="C29" s="717">
        <f>SUBTOTAL(9,C19:C28)</f>
        <v>-13245.664388054392</v>
      </c>
      <c r="D29" s="718">
        <f>SUM(D19:D28)</f>
        <v>0</v>
      </c>
      <c r="E29" s="718">
        <f>SUM(E19:E28)</f>
        <v>-13245.664388054392</v>
      </c>
      <c r="F29" s="718">
        <f>SUM(F19:F28)</f>
        <v>0</v>
      </c>
      <c r="G29" s="718">
        <f>SUM(G19:G28)</f>
        <v>0</v>
      </c>
      <c r="H29" s="719"/>
    </row>
    <row r="30" spans="1:8" ht="20.149999999999999" customHeight="1">
      <c r="A30" s="671">
        <f t="shared" si="0"/>
        <v>16</v>
      </c>
      <c r="B30" s="720" t="s">
        <v>1045</v>
      </c>
      <c r="C30" s="721"/>
      <c r="D30" s="721"/>
      <c r="E30" s="721"/>
      <c r="F30" s="722"/>
      <c r="G30" s="723"/>
      <c r="H30" s="710"/>
    </row>
    <row r="31" spans="1:8" ht="20.149999999999999" customHeight="1">
      <c r="A31" s="671">
        <f t="shared" si="0"/>
        <v>17</v>
      </c>
      <c r="B31" s="724" t="s">
        <v>1046</v>
      </c>
      <c r="C31" s="725"/>
      <c r="D31" s="725"/>
      <c r="E31" s="725"/>
      <c r="F31" s="725"/>
      <c r="G31" s="725"/>
      <c r="H31" s="726"/>
    </row>
    <row r="32" spans="1:8" ht="20.149999999999999" customHeight="1" thickBot="1">
      <c r="A32" s="671">
        <f t="shared" si="0"/>
        <v>18</v>
      </c>
      <c r="B32" s="727" t="s">
        <v>21</v>
      </c>
      <c r="C32" s="728">
        <f>+C29-C30-C31</f>
        <v>-13245.664388054392</v>
      </c>
      <c r="D32" s="728">
        <f>+D29-D30-D31</f>
        <v>0</v>
      </c>
      <c r="E32" s="728">
        <f>+E29-E30-E31</f>
        <v>-13245.664388054392</v>
      </c>
      <c r="F32" s="728">
        <f>+F29-F30-F31</f>
        <v>0</v>
      </c>
      <c r="G32" s="728">
        <f>+G29-G30-G31</f>
        <v>0</v>
      </c>
      <c r="H32" s="729"/>
    </row>
    <row r="33" spans="1:8" ht="20.149999999999999" customHeight="1" thickTop="1">
      <c r="A33" s="671"/>
      <c r="B33" s="664" t="s">
        <v>1047</v>
      </c>
      <c r="C33" s="705"/>
      <c r="D33" s="730"/>
      <c r="E33" s="666"/>
      <c r="G33" s="731"/>
    </row>
    <row r="34" spans="1:8" ht="20.149999999999999" customHeight="1">
      <c r="A34" s="671"/>
      <c r="B34" s="982" t="s">
        <v>1048</v>
      </c>
      <c r="C34" s="982"/>
      <c r="D34" s="982"/>
      <c r="E34" s="982"/>
      <c r="F34" s="982"/>
      <c r="G34" s="982"/>
    </row>
    <row r="35" spans="1:8" ht="20.149999999999999" customHeight="1">
      <c r="A35" s="671"/>
      <c r="B35" s="670" t="s">
        <v>1049</v>
      </c>
      <c r="F35" s="666"/>
      <c r="G35" s="666"/>
    </row>
    <row r="36" spans="1:8" ht="20.149999999999999" customHeight="1">
      <c r="A36" s="671"/>
      <c r="B36" s="670" t="s">
        <v>1050</v>
      </c>
      <c r="F36" s="666"/>
      <c r="G36" s="666"/>
    </row>
    <row r="37" spans="1:8" ht="20.149999999999999" customHeight="1">
      <c r="A37" s="671"/>
      <c r="B37" s="670" t="s">
        <v>1051</v>
      </c>
      <c r="F37" s="666"/>
      <c r="G37" s="666"/>
    </row>
    <row r="38" spans="1:8" ht="33" customHeight="1">
      <c r="A38" s="671"/>
      <c r="B38" s="982" t="s">
        <v>1062</v>
      </c>
      <c r="C38" s="982"/>
      <c r="D38" s="982"/>
      <c r="E38" s="982"/>
      <c r="F38" s="982"/>
      <c r="G38" s="982"/>
      <c r="H38" s="732"/>
    </row>
    <row r="39" spans="1:8">
      <c r="A39" s="671"/>
      <c r="B39" s="732"/>
      <c r="C39" s="732"/>
      <c r="D39" s="732"/>
      <c r="E39" s="732"/>
      <c r="F39" s="732"/>
      <c r="G39" s="732"/>
      <c r="H39" s="732"/>
    </row>
    <row r="40" spans="1:8">
      <c r="A40" s="671"/>
      <c r="B40" s="664"/>
    </row>
    <row r="41" spans="1:8">
      <c r="A41" s="671"/>
      <c r="B41" s="666" t="s">
        <v>75</v>
      </c>
      <c r="C41" s="666" t="s">
        <v>76</v>
      </c>
      <c r="D41" s="666" t="s">
        <v>77</v>
      </c>
      <c r="E41" s="666" t="s">
        <v>78</v>
      </c>
      <c r="F41" s="666" t="s">
        <v>79</v>
      </c>
      <c r="G41" s="666" t="s">
        <v>80</v>
      </c>
      <c r="H41" s="666" t="s">
        <v>81</v>
      </c>
    </row>
    <row r="42" spans="1:8" ht="26">
      <c r="A42" s="671"/>
      <c r="B42" s="670" t="s">
        <v>997</v>
      </c>
      <c r="C42" s="706" t="s">
        <v>21</v>
      </c>
      <c r="D42" s="706" t="s">
        <v>1040</v>
      </c>
      <c r="E42" s="706" t="s">
        <v>993</v>
      </c>
      <c r="F42" s="706" t="s">
        <v>994</v>
      </c>
      <c r="G42" s="706" t="s">
        <v>995</v>
      </c>
      <c r="H42" s="706" t="s">
        <v>1041</v>
      </c>
    </row>
    <row r="43" spans="1:8" ht="30" customHeight="1">
      <c r="A43" s="671">
        <f>A32+1</f>
        <v>19</v>
      </c>
      <c r="B43" s="711"/>
      <c r="C43" s="708"/>
      <c r="D43" s="709"/>
      <c r="E43" s="709"/>
      <c r="F43" s="709"/>
      <c r="G43" s="709"/>
      <c r="H43" s="710"/>
    </row>
    <row r="44" spans="1:8" ht="30" customHeight="1">
      <c r="A44" s="671">
        <f t="shared" ref="A44:A54" si="1">+A43+1</f>
        <v>20</v>
      </c>
      <c r="B44" s="711"/>
      <c r="C44" s="708"/>
      <c r="D44" s="709"/>
      <c r="E44" s="709"/>
      <c r="F44" s="709"/>
      <c r="G44" s="709"/>
      <c r="H44" s="710"/>
    </row>
    <row r="45" spans="1:8" ht="30" customHeight="1">
      <c r="A45" s="671">
        <f t="shared" si="1"/>
        <v>21</v>
      </c>
      <c r="B45" s="711"/>
      <c r="C45" s="708"/>
      <c r="D45" s="709"/>
      <c r="E45" s="709"/>
      <c r="F45" s="709"/>
      <c r="G45" s="709"/>
      <c r="H45" s="710"/>
    </row>
    <row r="46" spans="1:8" ht="30" customHeight="1">
      <c r="A46" s="671">
        <f t="shared" si="1"/>
        <v>22</v>
      </c>
      <c r="B46" s="711"/>
      <c r="C46" s="708"/>
      <c r="D46" s="709"/>
      <c r="E46" s="709"/>
      <c r="F46" s="709"/>
      <c r="G46" s="709"/>
      <c r="H46" s="710"/>
    </row>
    <row r="47" spans="1:8" ht="30" customHeight="1">
      <c r="A47" s="671">
        <f t="shared" si="1"/>
        <v>23</v>
      </c>
      <c r="B47" s="711"/>
      <c r="C47" s="709"/>
      <c r="D47" s="709"/>
      <c r="E47" s="709"/>
      <c r="F47" s="709"/>
      <c r="G47" s="709"/>
      <c r="H47" s="710"/>
    </row>
    <row r="48" spans="1:8" ht="30" customHeight="1">
      <c r="A48" s="671">
        <f t="shared" si="1"/>
        <v>24</v>
      </c>
      <c r="B48" s="787" t="s">
        <v>1112</v>
      </c>
      <c r="C48" s="709">
        <f>E48</f>
        <v>0</v>
      </c>
      <c r="D48" s="709"/>
      <c r="E48" s="709"/>
      <c r="F48" s="709"/>
      <c r="G48" s="709"/>
      <c r="H48" s="710"/>
    </row>
    <row r="49" spans="1:8" ht="30" customHeight="1">
      <c r="A49" s="671">
        <f t="shared" si="1"/>
        <v>25</v>
      </c>
      <c r="B49" s="787" t="s">
        <v>1113</v>
      </c>
      <c r="C49" s="733">
        <f>E49</f>
        <v>0</v>
      </c>
      <c r="D49" s="733"/>
      <c r="E49" s="733">
        <v>0</v>
      </c>
      <c r="F49" s="733"/>
      <c r="G49" s="733"/>
      <c r="H49" s="710"/>
    </row>
    <row r="50" spans="1:8" ht="30" customHeight="1">
      <c r="A50" s="671">
        <f t="shared" si="1"/>
        <v>26</v>
      </c>
      <c r="B50" s="747" t="s">
        <v>1114</v>
      </c>
      <c r="C50" s="748">
        <f>E50</f>
        <v>-1886555.9682185801</v>
      </c>
      <c r="D50" s="748"/>
      <c r="E50" s="748">
        <f>'GLHP Taxes'!N37</f>
        <v>-1886555.9682185801</v>
      </c>
      <c r="F50" s="748"/>
      <c r="G50" s="748"/>
      <c r="H50" s="715" t="s">
        <v>1043</v>
      </c>
    </row>
    <row r="51" spans="1:8" ht="20.149999999999999" customHeight="1">
      <c r="A51" s="671">
        <f t="shared" si="1"/>
        <v>27</v>
      </c>
      <c r="B51" s="734" t="s">
        <v>1063</v>
      </c>
      <c r="C51" s="718">
        <f>SUBTOTAL(9,C43:C50)</f>
        <v>-1886555.9682185801</v>
      </c>
      <c r="D51" s="718">
        <f>SUM(D43:D50)</f>
        <v>0</v>
      </c>
      <c r="E51" s="718">
        <f>SUM(E43:E50)</f>
        <v>-1886555.9682185801</v>
      </c>
      <c r="F51" s="718">
        <f>SUM(F43:F50)</f>
        <v>0</v>
      </c>
      <c r="G51" s="718">
        <f>SUM(G43:G50)</f>
        <v>0</v>
      </c>
      <c r="H51" s="719"/>
    </row>
    <row r="52" spans="1:8" ht="20.149999999999999" customHeight="1">
      <c r="A52" s="671">
        <f t="shared" si="1"/>
        <v>28</v>
      </c>
      <c r="B52" s="734" t="s">
        <v>1045</v>
      </c>
      <c r="C52" s="721"/>
      <c r="D52" s="721"/>
      <c r="E52" s="721"/>
      <c r="F52" s="721"/>
      <c r="G52" s="721"/>
      <c r="H52" s="710"/>
    </row>
    <row r="53" spans="1:8" ht="20.149999999999999" customHeight="1">
      <c r="A53" s="671">
        <f t="shared" si="1"/>
        <v>29</v>
      </c>
      <c r="B53" s="735" t="s">
        <v>1046</v>
      </c>
      <c r="C53" s="725"/>
      <c r="D53" s="725"/>
      <c r="E53" s="725"/>
      <c r="F53" s="725"/>
      <c r="G53" s="725"/>
      <c r="H53" s="726"/>
    </row>
    <row r="54" spans="1:8" ht="20.149999999999999" customHeight="1" thickBot="1">
      <c r="A54" s="671">
        <f t="shared" si="1"/>
        <v>30</v>
      </c>
      <c r="B54" s="727" t="s">
        <v>21</v>
      </c>
      <c r="C54" s="728">
        <f>+C51-C52-C53</f>
        <v>-1886555.9682185801</v>
      </c>
      <c r="D54" s="728">
        <f>+D51-D52-D53</f>
        <v>0</v>
      </c>
      <c r="E54" s="728">
        <f>+E51-E52-E53</f>
        <v>-1886555.9682185801</v>
      </c>
      <c r="F54" s="728">
        <f>+F51-F52-F53</f>
        <v>0</v>
      </c>
      <c r="G54" s="728">
        <f>+G51-G52-G53</f>
        <v>0</v>
      </c>
      <c r="H54" s="729"/>
    </row>
    <row r="55" spans="1:8" ht="20.149999999999999" customHeight="1" thickTop="1">
      <c r="A55" s="671"/>
      <c r="B55" s="664" t="s">
        <v>1055</v>
      </c>
      <c r="D55" s="666"/>
      <c r="E55" s="730"/>
      <c r="G55" s="732"/>
    </row>
    <row r="56" spans="1:8" ht="20.149999999999999" customHeight="1">
      <c r="A56" s="671"/>
      <c r="B56" s="982" t="s">
        <v>1048</v>
      </c>
      <c r="C56" s="982"/>
      <c r="D56" s="982"/>
      <c r="E56" s="982"/>
      <c r="F56" s="982"/>
      <c r="G56" s="982"/>
    </row>
    <row r="57" spans="1:8" ht="20.149999999999999" customHeight="1">
      <c r="A57" s="671"/>
      <c r="B57" s="670" t="s">
        <v>1049</v>
      </c>
      <c r="F57" s="666"/>
      <c r="G57" s="666"/>
    </row>
    <row r="58" spans="1:8" ht="20.149999999999999" customHeight="1">
      <c r="A58" s="671"/>
      <c r="B58" s="670" t="s">
        <v>1050</v>
      </c>
      <c r="F58" s="666"/>
      <c r="G58" s="666"/>
    </row>
    <row r="59" spans="1:8" ht="20.149999999999999" customHeight="1">
      <c r="A59" s="671"/>
      <c r="B59" s="670" t="s">
        <v>1051</v>
      </c>
      <c r="F59" s="666"/>
      <c r="G59" s="666"/>
    </row>
    <row r="60" spans="1:8" ht="33.75" customHeight="1">
      <c r="A60" s="671"/>
      <c r="B60" s="982" t="s">
        <v>1052</v>
      </c>
      <c r="C60" s="982"/>
      <c r="D60" s="982"/>
      <c r="E60" s="982"/>
      <c r="F60" s="982"/>
      <c r="G60" s="982"/>
      <c r="H60" s="732"/>
    </row>
    <row r="61" spans="1:8">
      <c r="A61" s="671"/>
      <c r="H61" s="732"/>
    </row>
    <row r="62" spans="1:8">
      <c r="A62" s="671"/>
      <c r="H62" s="732"/>
    </row>
    <row r="63" spans="1:8">
      <c r="A63" s="671"/>
      <c r="B63" s="666" t="s">
        <v>75</v>
      </c>
      <c r="C63" s="666" t="s">
        <v>76</v>
      </c>
      <c r="D63" s="666" t="s">
        <v>77</v>
      </c>
      <c r="E63" s="666" t="s">
        <v>78</v>
      </c>
      <c r="F63" s="666" t="s">
        <v>79</v>
      </c>
      <c r="G63" s="666" t="s">
        <v>80</v>
      </c>
      <c r="H63" s="666" t="s">
        <v>81</v>
      </c>
    </row>
    <row r="64" spans="1:8" ht="26">
      <c r="A64" s="671"/>
      <c r="B64" s="670" t="s">
        <v>1005</v>
      </c>
      <c r="C64" s="706" t="s">
        <v>21</v>
      </c>
      <c r="D64" s="706" t="s">
        <v>1040</v>
      </c>
      <c r="E64" s="706" t="s">
        <v>993</v>
      </c>
      <c r="F64" s="706" t="s">
        <v>994</v>
      </c>
      <c r="G64" s="706" t="s">
        <v>995</v>
      </c>
      <c r="H64" s="706" t="s">
        <v>1041</v>
      </c>
    </row>
    <row r="65" spans="1:10" ht="30" customHeight="1">
      <c r="A65" s="671">
        <f>A54+1</f>
        <v>31</v>
      </c>
      <c r="B65" s="736"/>
      <c r="C65" s="708"/>
      <c r="D65" s="709"/>
      <c r="E65" s="709"/>
      <c r="F65" s="709"/>
      <c r="G65" s="709"/>
      <c r="H65" s="710"/>
    </row>
    <row r="66" spans="1:10" ht="30" customHeight="1">
      <c r="A66" s="671">
        <f t="shared" ref="A66:A78" si="2">+A65+1</f>
        <v>32</v>
      </c>
      <c r="B66" s="711"/>
      <c r="C66" s="708"/>
      <c r="D66" s="709"/>
      <c r="E66" s="709"/>
      <c r="F66" s="709"/>
      <c r="G66" s="709"/>
      <c r="H66" s="710"/>
      <c r="J66" s="737"/>
    </row>
    <row r="67" spans="1:10" ht="30" customHeight="1">
      <c r="A67" s="671">
        <f t="shared" si="2"/>
        <v>33</v>
      </c>
      <c r="B67" s="711"/>
      <c r="C67" s="708"/>
      <c r="D67" s="709"/>
      <c r="E67" s="709"/>
      <c r="F67" s="709"/>
      <c r="G67" s="709"/>
      <c r="H67" s="710"/>
    </row>
    <row r="68" spans="1:10" ht="30" customHeight="1">
      <c r="A68" s="671">
        <f t="shared" si="2"/>
        <v>34</v>
      </c>
      <c r="B68" s="711"/>
      <c r="C68" s="708"/>
      <c r="D68" s="709"/>
      <c r="E68" s="709"/>
      <c r="F68" s="709"/>
      <c r="G68" s="709"/>
      <c r="H68" s="710"/>
    </row>
    <row r="69" spans="1:10" ht="30" customHeight="1">
      <c r="A69" s="671">
        <f t="shared" si="2"/>
        <v>35</v>
      </c>
      <c r="B69" s="711"/>
      <c r="C69" s="709"/>
      <c r="D69" s="733"/>
      <c r="E69" s="709"/>
      <c r="F69" s="709"/>
      <c r="G69" s="709"/>
      <c r="H69" s="710"/>
    </row>
    <row r="70" spans="1:10" ht="30" customHeight="1">
      <c r="A70" s="671">
        <f t="shared" si="2"/>
        <v>36</v>
      </c>
      <c r="B70" s="711"/>
      <c r="C70" s="709"/>
      <c r="D70" s="733"/>
      <c r="E70" s="709"/>
      <c r="F70" s="709"/>
      <c r="G70" s="709"/>
      <c r="H70" s="710"/>
    </row>
    <row r="71" spans="1:10" ht="30" customHeight="1">
      <c r="A71" s="671">
        <f t="shared" si="2"/>
        <v>37</v>
      </c>
      <c r="B71" s="711"/>
      <c r="C71" s="709"/>
      <c r="D71" s="733"/>
      <c r="E71" s="709"/>
      <c r="F71" s="709"/>
      <c r="G71" s="709"/>
      <c r="H71" s="710"/>
    </row>
    <row r="72" spans="1:10" ht="30" customHeight="1">
      <c r="A72" s="671">
        <f t="shared" si="2"/>
        <v>38</v>
      </c>
      <c r="B72" s="787" t="s">
        <v>1112</v>
      </c>
      <c r="C72" s="709">
        <f>E72</f>
        <v>0</v>
      </c>
      <c r="D72" s="712"/>
      <c r="E72" s="709">
        <v>0</v>
      </c>
      <c r="F72" s="709"/>
      <c r="G72" s="709"/>
      <c r="H72" s="710"/>
    </row>
    <row r="73" spans="1:10" ht="30" customHeight="1">
      <c r="A73" s="671">
        <f t="shared" si="2"/>
        <v>39</v>
      </c>
      <c r="B73" s="787" t="s">
        <v>1113</v>
      </c>
      <c r="C73" s="709">
        <f>E73</f>
        <v>0</v>
      </c>
      <c r="D73" s="709"/>
      <c r="E73" s="709">
        <v>0</v>
      </c>
      <c r="F73" s="709"/>
      <c r="G73" s="709"/>
      <c r="H73" s="710"/>
    </row>
    <row r="74" spans="1:10" ht="30" customHeight="1">
      <c r="A74" s="671">
        <f t="shared" si="2"/>
        <v>40</v>
      </c>
      <c r="B74" s="713" t="s">
        <v>1114</v>
      </c>
      <c r="C74" s="738">
        <f>E74</f>
        <v>-159638.84738990734</v>
      </c>
      <c r="D74" s="738"/>
      <c r="E74" s="738">
        <f>'GLHP Taxes'!N46</f>
        <v>-159638.84738990734</v>
      </c>
      <c r="F74" s="738"/>
      <c r="G74" s="738"/>
      <c r="H74" s="715" t="s">
        <v>1043</v>
      </c>
    </row>
    <row r="75" spans="1:10" ht="20.149999999999999" customHeight="1">
      <c r="A75" s="671">
        <f t="shared" si="2"/>
        <v>41</v>
      </c>
      <c r="B75" s="716" t="s">
        <v>1064</v>
      </c>
      <c r="C75" s="717">
        <f>SUBTOTAL(9,C65:C74)</f>
        <v>-159638.84738990734</v>
      </c>
      <c r="D75" s="717">
        <f>SUM(D65:D74)</f>
        <v>0</v>
      </c>
      <c r="E75" s="717">
        <f>SUM(E65:E74)</f>
        <v>-159638.84738990734</v>
      </c>
      <c r="F75" s="717">
        <f>SUM(F65:F74)</f>
        <v>0</v>
      </c>
      <c r="G75" s="717">
        <f>SUM(G65:G74)</f>
        <v>0</v>
      </c>
      <c r="H75" s="710"/>
    </row>
    <row r="76" spans="1:10" ht="20.149999999999999" customHeight="1">
      <c r="A76" s="671">
        <f t="shared" si="2"/>
        <v>42</v>
      </c>
      <c r="B76" s="716" t="s">
        <v>1045</v>
      </c>
      <c r="C76" s="722"/>
      <c r="D76" s="722"/>
      <c r="E76" s="722"/>
      <c r="F76" s="722"/>
      <c r="G76" s="722"/>
      <c r="H76" s="710"/>
    </row>
    <row r="77" spans="1:10" ht="20.149999999999999" customHeight="1">
      <c r="A77" s="671">
        <f t="shared" si="2"/>
        <v>43</v>
      </c>
      <c r="B77" s="739" t="s">
        <v>1046</v>
      </c>
      <c r="C77" s="740"/>
      <c r="D77" s="740"/>
      <c r="E77" s="740"/>
      <c r="F77" s="740"/>
      <c r="G77" s="740"/>
      <c r="H77" s="726"/>
    </row>
    <row r="78" spans="1:10" ht="20.149999999999999" customHeight="1" thickBot="1">
      <c r="A78" s="671">
        <f t="shared" si="2"/>
        <v>44</v>
      </c>
      <c r="B78" s="727" t="s">
        <v>21</v>
      </c>
      <c r="C78" s="741">
        <f>+C75-C76-C77</f>
        <v>-159638.84738990734</v>
      </c>
      <c r="D78" s="741">
        <f>+D75-D76-D77</f>
        <v>0</v>
      </c>
      <c r="E78" s="741">
        <f>+E75-E76-E77</f>
        <v>-159638.84738990734</v>
      </c>
      <c r="F78" s="741">
        <f>+F75-F76-F77</f>
        <v>0</v>
      </c>
      <c r="G78" s="741">
        <f>+G75-G76-G77</f>
        <v>0</v>
      </c>
      <c r="H78" s="729"/>
    </row>
    <row r="79" spans="1:10" ht="20.149999999999999" customHeight="1" thickTop="1">
      <c r="A79" s="671"/>
      <c r="B79" s="664" t="s">
        <v>1058</v>
      </c>
      <c r="E79" s="666"/>
      <c r="F79" s="666"/>
      <c r="H79" s="742"/>
    </row>
    <row r="80" spans="1:10" ht="20.149999999999999" customHeight="1">
      <c r="A80" s="671"/>
      <c r="B80" s="982" t="s">
        <v>1048</v>
      </c>
      <c r="C80" s="982"/>
      <c r="D80" s="982"/>
      <c r="E80" s="982"/>
      <c r="F80" s="982"/>
      <c r="G80" s="982"/>
    </row>
    <row r="81" spans="1:9" ht="20.149999999999999" customHeight="1">
      <c r="A81" s="671"/>
      <c r="B81" s="670" t="s">
        <v>1049</v>
      </c>
      <c r="F81" s="666"/>
      <c r="G81" s="666"/>
    </row>
    <row r="82" spans="1:9" ht="20.149999999999999" customHeight="1">
      <c r="A82" s="671"/>
      <c r="B82" s="670" t="s">
        <v>1050</v>
      </c>
      <c r="F82" s="666"/>
      <c r="G82" s="666"/>
    </row>
    <row r="83" spans="1:9" ht="20.149999999999999" customHeight="1">
      <c r="A83" s="671"/>
      <c r="B83" s="670" t="s">
        <v>1051</v>
      </c>
      <c r="F83" s="666"/>
      <c r="G83" s="666"/>
    </row>
    <row r="84" spans="1:9" ht="32.25" customHeight="1">
      <c r="A84" s="671"/>
      <c r="B84" s="982" t="s">
        <v>1052</v>
      </c>
      <c r="C84" s="982"/>
      <c r="D84" s="982"/>
      <c r="E84" s="982"/>
      <c r="F84" s="982"/>
      <c r="G84" s="982"/>
    </row>
    <row r="86" spans="1:9" ht="15.75" customHeight="1">
      <c r="B86" s="743"/>
      <c r="C86" s="743"/>
      <c r="D86" s="743"/>
      <c r="E86" s="743"/>
      <c r="F86" s="743"/>
      <c r="G86" s="743"/>
      <c r="H86" s="743"/>
    </row>
    <row r="87" spans="1:9">
      <c r="B87" s="978"/>
      <c r="C87" s="978"/>
      <c r="D87" s="978"/>
      <c r="E87" s="978"/>
      <c r="F87" s="978"/>
      <c r="G87" s="978"/>
      <c r="H87" s="978"/>
    </row>
    <row r="88" spans="1:9">
      <c r="B88" s="664"/>
    </row>
    <row r="89" spans="1:9">
      <c r="B89" s="664"/>
    </row>
    <row r="90" spans="1:9" ht="15.75" customHeight="1">
      <c r="B90" s="664"/>
    </row>
    <row r="91" spans="1:9">
      <c r="B91" s="664"/>
      <c r="D91" s="675"/>
      <c r="E91" s="675"/>
      <c r="F91" s="675"/>
      <c r="G91" s="675"/>
      <c r="H91" s="675"/>
      <c r="I91" s="676"/>
    </row>
    <row r="92" spans="1:9">
      <c r="B92" s="664"/>
      <c r="D92" s="675"/>
      <c r="E92" s="675"/>
      <c r="F92" s="675"/>
      <c r="G92" s="675"/>
      <c r="H92" s="675"/>
      <c r="I92" s="676"/>
    </row>
    <row r="93" spans="1:9">
      <c r="D93" s="666"/>
      <c r="E93" s="666"/>
    </row>
    <row r="94" spans="1:9">
      <c r="D94" s="449"/>
      <c r="E94" s="449"/>
    </row>
    <row r="95" spans="1:9">
      <c r="D95" s="449"/>
      <c r="E95" s="449"/>
    </row>
    <row r="96" spans="1:9">
      <c r="D96" s="449"/>
      <c r="E96" s="449"/>
    </row>
    <row r="97" spans="2:5">
      <c r="D97" s="449"/>
      <c r="E97" s="449"/>
    </row>
    <row r="98" spans="2:5">
      <c r="D98" s="449"/>
      <c r="E98" s="449"/>
    </row>
    <row r="99" spans="2:5">
      <c r="D99" s="449"/>
      <c r="E99" s="449"/>
    </row>
    <row r="100" spans="2:5">
      <c r="D100" s="449"/>
      <c r="E100" s="449"/>
    </row>
    <row r="101" spans="2:5">
      <c r="D101" s="449"/>
      <c r="E101" s="449"/>
    </row>
    <row r="102" spans="2:5">
      <c r="D102" s="449"/>
      <c r="E102" s="449"/>
    </row>
    <row r="103" spans="2:5">
      <c r="D103" s="449"/>
      <c r="E103" s="449"/>
    </row>
    <row r="104" spans="2:5">
      <c r="B104" s="664"/>
      <c r="D104" s="449"/>
      <c r="E104" s="449"/>
    </row>
    <row r="105" spans="2:5">
      <c r="D105" s="449"/>
      <c r="E105" s="449"/>
    </row>
    <row r="106" spans="2:5">
      <c r="B106" s="664"/>
      <c r="D106" s="449"/>
      <c r="E106" s="449"/>
    </row>
    <row r="210" spans="9:9">
      <c r="I210" s="677"/>
    </row>
  </sheetData>
  <mergeCells count="11">
    <mergeCell ref="B38:G38"/>
    <mergeCell ref="B1:H1"/>
    <mergeCell ref="B2:H2"/>
    <mergeCell ref="B3:H3"/>
    <mergeCell ref="B15:H15"/>
    <mergeCell ref="B34:G34"/>
    <mergeCell ref="B56:G56"/>
    <mergeCell ref="B60:G60"/>
    <mergeCell ref="B80:G80"/>
    <mergeCell ref="B84:G84"/>
    <mergeCell ref="B87:H87"/>
  </mergeCells>
  <printOptions horizontalCentered="1"/>
  <pageMargins left="0.5" right="0.5" top="0.5" bottom="0.5" header="0.33" footer="0.5"/>
  <pageSetup scale="51" fitToHeight="0" orientation="landscape" r:id="rId1"/>
  <headerFooter alignWithMargins="0"/>
  <rowBreaks count="1" manualBreakCount="1">
    <brk id="39" max="16383" man="1"/>
  </rowBreaks>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R153"/>
  <sheetViews>
    <sheetView workbookViewId="0">
      <selection sqref="A1:J1"/>
    </sheetView>
  </sheetViews>
  <sheetFormatPr defaultColWidth="8.84375" defaultRowHeight="13"/>
  <cols>
    <col min="1" max="1" width="5.69140625" style="664" customWidth="1"/>
    <col min="2" max="2" width="32.23046875" style="670" bestFit="1" customWidth="1"/>
    <col min="3" max="3" width="10.69140625" style="664" customWidth="1"/>
    <col min="4" max="4" width="9.84375" style="664" customWidth="1"/>
    <col min="5" max="5" width="16.3046875" style="664" customWidth="1"/>
    <col min="6" max="6" width="12.07421875" style="664" customWidth="1"/>
    <col min="7" max="7" width="11.84375" style="664" customWidth="1"/>
    <col min="8" max="8" width="14.07421875" style="664" customWidth="1"/>
    <col min="9" max="9" width="17.07421875" style="664" customWidth="1"/>
    <col min="10" max="10" width="38.4609375" style="664" bestFit="1" customWidth="1"/>
    <col min="11" max="11" width="8.84375" style="664"/>
    <col min="12" max="12" width="12.07421875" style="664" customWidth="1"/>
    <col min="13" max="13" width="12.84375" style="664" customWidth="1"/>
    <col min="14" max="16384" width="8.84375" style="664"/>
  </cols>
  <sheetData>
    <row r="1" spans="1:18" ht="18" customHeight="1">
      <c r="A1" s="978" t="s">
        <v>1065</v>
      </c>
      <c r="B1" s="978"/>
      <c r="C1" s="978"/>
      <c r="D1" s="978"/>
      <c r="E1" s="978"/>
      <c r="F1" s="978"/>
      <c r="G1" s="978"/>
      <c r="H1" s="978"/>
      <c r="I1" s="978"/>
      <c r="J1" s="978"/>
    </row>
    <row r="2" spans="1:18" ht="18" customHeight="1">
      <c r="A2" s="978" t="str">
        <f>+'Attachment H'!D5</f>
        <v>Gridliance High Plains LLC</v>
      </c>
      <c r="B2" s="978"/>
      <c r="C2" s="978"/>
      <c r="D2" s="978"/>
      <c r="E2" s="978"/>
      <c r="F2" s="978"/>
      <c r="G2" s="978"/>
      <c r="H2" s="978"/>
      <c r="I2" s="978"/>
      <c r="J2" s="978"/>
      <c r="K2" s="665"/>
      <c r="L2" s="665"/>
      <c r="M2" s="665"/>
    </row>
    <row r="3" spans="1:18" ht="18" customHeight="1">
      <c r="A3" s="978" t="s">
        <v>1276</v>
      </c>
      <c r="B3" s="978"/>
      <c r="C3" s="978"/>
      <c r="D3" s="978"/>
      <c r="E3" s="978"/>
      <c r="F3" s="978"/>
      <c r="G3" s="978"/>
      <c r="H3" s="979"/>
      <c r="I3" s="979"/>
      <c r="J3" s="978"/>
    </row>
    <row r="4" spans="1:18" ht="18" customHeight="1">
      <c r="A4" s="666"/>
      <c r="B4" s="666"/>
      <c r="C4" s="666"/>
      <c r="D4" s="666"/>
      <c r="E4" s="666"/>
      <c r="F4" s="666"/>
      <c r="G4" s="666"/>
      <c r="H4" s="666"/>
      <c r="I4" s="666"/>
      <c r="J4" s="666"/>
    </row>
    <row r="5" spans="1:18">
      <c r="B5" s="666" t="s">
        <v>292</v>
      </c>
      <c r="C5" s="666" t="s">
        <v>293</v>
      </c>
      <c r="D5" s="666" t="s">
        <v>294</v>
      </c>
      <c r="E5" s="666" t="s">
        <v>295</v>
      </c>
      <c r="F5" s="666" t="s">
        <v>297</v>
      </c>
      <c r="G5" s="666" t="s">
        <v>296</v>
      </c>
      <c r="H5" s="666" t="s">
        <v>298</v>
      </c>
      <c r="I5" s="667" t="s">
        <v>299</v>
      </c>
      <c r="J5" s="666"/>
    </row>
    <row r="6" spans="1:18" ht="26">
      <c r="A6" s="668" t="s">
        <v>990</v>
      </c>
      <c r="B6" s="669" t="s">
        <v>991</v>
      </c>
      <c r="C6" s="669" t="s">
        <v>252</v>
      </c>
      <c r="D6" s="669" t="s">
        <v>96</v>
      </c>
      <c r="E6" s="669" t="s">
        <v>992</v>
      </c>
      <c r="F6" s="669" t="s">
        <v>993</v>
      </c>
      <c r="G6" s="669" t="s">
        <v>994</v>
      </c>
      <c r="H6" s="669" t="s">
        <v>995</v>
      </c>
      <c r="I6" s="669" t="s">
        <v>996</v>
      </c>
      <c r="J6" s="669"/>
      <c r="R6" s="666"/>
    </row>
    <row r="7" spans="1:18">
      <c r="A7" s="664" t="s">
        <v>997</v>
      </c>
      <c r="D7" s="666"/>
      <c r="E7" s="666"/>
      <c r="F7" s="666"/>
      <c r="R7" s="666"/>
    </row>
    <row r="8" spans="1:18" ht="20.149999999999999" customHeight="1">
      <c r="A8" s="671">
        <v>1</v>
      </c>
      <c r="B8" s="670" t="s">
        <v>998</v>
      </c>
      <c r="C8" s="664" t="s">
        <v>98</v>
      </c>
      <c r="D8" s="785">
        <v>2023</v>
      </c>
      <c r="E8" s="124">
        <f>SUM(F8:H8)</f>
        <v>-1718231.4627663651</v>
      </c>
      <c r="F8" s="124">
        <f>'4c- ADIT BOY'!E54</f>
        <v>-1718231.4627663651</v>
      </c>
      <c r="G8" s="618">
        <f>'4c- ADIT BOY'!F54</f>
        <v>0</v>
      </c>
      <c r="H8" s="618">
        <f>'4c- ADIT BOY'!G54</f>
        <v>0</v>
      </c>
      <c r="I8" s="618"/>
      <c r="J8" s="672"/>
    </row>
    <row r="9" spans="1:18" ht="20.149999999999999" customHeight="1">
      <c r="A9" s="671">
        <f>A8+1</f>
        <v>2</v>
      </c>
      <c r="B9" s="670" t="s">
        <v>1115</v>
      </c>
      <c r="C9" s="664" t="s">
        <v>98</v>
      </c>
      <c r="D9" s="785">
        <v>2024</v>
      </c>
      <c r="E9" s="124">
        <f t="shared" ref="E9:E11" si="0">SUM(F9:H9)</f>
        <v>0</v>
      </c>
      <c r="F9" s="124">
        <f>'4d- ADIT EOY'!E54-'4d- ADIT EOY'!E51</f>
        <v>0</v>
      </c>
      <c r="G9" s="124">
        <f>'4d- ADIT EOY'!F54-'4d- ADIT EOY'!F51</f>
        <v>0</v>
      </c>
      <c r="H9" s="124">
        <f>'4d- ADIT EOY'!G54-'4d- ADIT EOY'!G51</f>
        <v>0</v>
      </c>
      <c r="I9" s="618"/>
      <c r="J9" s="672"/>
    </row>
    <row r="10" spans="1:18" ht="20.149999999999999" customHeight="1">
      <c r="A10" s="671">
        <f>+A9+1</f>
        <v>3</v>
      </c>
      <c r="B10" s="670" t="s">
        <v>1093</v>
      </c>
      <c r="C10" s="664" t="s">
        <v>98</v>
      </c>
      <c r="D10" s="785">
        <v>2024</v>
      </c>
      <c r="E10" s="124">
        <f t="shared" si="0"/>
        <v>90349.523360309904</v>
      </c>
      <c r="F10" s="674">
        <f>'4f-ADIT True-up Proration'!N21</f>
        <v>90349.523360309904</v>
      </c>
      <c r="G10" s="674">
        <f>'4f-ADIT True-up Proration'!W21</f>
        <v>0</v>
      </c>
      <c r="H10" s="674">
        <f>'4f-ADIT True-up Proration'!AF21</f>
        <v>0</v>
      </c>
      <c r="I10" s="674"/>
      <c r="J10" s="674"/>
    </row>
    <row r="11" spans="1:18" ht="20.149999999999999" customHeight="1">
      <c r="A11" s="671">
        <f>+A10+1</f>
        <v>4</v>
      </c>
      <c r="B11" s="670" t="s">
        <v>1075</v>
      </c>
      <c r="E11" s="124">
        <f t="shared" si="0"/>
        <v>90349.523360309904</v>
      </c>
      <c r="F11" s="674">
        <f t="shared" ref="F11:H11" si="1">F9+F10</f>
        <v>90349.523360309904</v>
      </c>
      <c r="G11" s="674">
        <f t="shared" si="1"/>
        <v>0</v>
      </c>
      <c r="H11" s="674">
        <f t="shared" si="1"/>
        <v>0</v>
      </c>
      <c r="I11" s="674"/>
      <c r="J11" s="674"/>
    </row>
    <row r="12" spans="1:18" ht="20.149999999999999" customHeight="1">
      <c r="A12" s="671">
        <f t="shared" ref="A12:A15" si="2">+A11+1</f>
        <v>5</v>
      </c>
      <c r="B12" s="670" t="s">
        <v>999</v>
      </c>
      <c r="E12" s="672"/>
      <c r="F12" s="672">
        <v>1</v>
      </c>
      <c r="G12" s="672"/>
      <c r="H12" s="672"/>
      <c r="I12" s="672"/>
      <c r="J12" s="673">
        <v>1</v>
      </c>
    </row>
    <row r="13" spans="1:18" ht="20.149999999999999" customHeight="1">
      <c r="A13" s="671">
        <f t="shared" si="2"/>
        <v>6</v>
      </c>
      <c r="B13" s="670" t="s">
        <v>1000</v>
      </c>
      <c r="E13" s="672"/>
      <c r="F13" s="672"/>
      <c r="G13" s="672">
        <f>'Attachment H'!G$84</f>
        <v>1</v>
      </c>
      <c r="H13" s="672"/>
      <c r="I13" s="672"/>
      <c r="J13" s="664" t="s">
        <v>1001</v>
      </c>
    </row>
    <row r="14" spans="1:18" ht="20.149999999999999" customHeight="1">
      <c r="A14" s="671">
        <f t="shared" si="2"/>
        <v>7</v>
      </c>
      <c r="B14" s="670" t="s">
        <v>1002</v>
      </c>
      <c r="E14" s="672"/>
      <c r="F14" s="672"/>
      <c r="G14" s="672"/>
      <c r="H14" s="672">
        <f>'Attachment H'!I$199</f>
        <v>1</v>
      </c>
      <c r="I14" s="672"/>
      <c r="J14" s="664" t="s">
        <v>1003</v>
      </c>
    </row>
    <row r="15" spans="1:18" ht="20.149999999999999" customHeight="1">
      <c r="A15" s="671">
        <f t="shared" si="2"/>
        <v>8</v>
      </c>
      <c r="B15" s="670" t="s">
        <v>1004</v>
      </c>
      <c r="E15" s="672">
        <f>+E11</f>
        <v>90349.523360309904</v>
      </c>
      <c r="F15" s="672">
        <f>F11*F12</f>
        <v>90349.523360309904</v>
      </c>
      <c r="G15" s="672">
        <f>+G11*G13</f>
        <v>0</v>
      </c>
      <c r="H15" s="672">
        <f>+H11*H14</f>
        <v>0</v>
      </c>
      <c r="I15" s="672">
        <f>+F15+G15+H15</f>
        <v>90349.523360309904</v>
      </c>
      <c r="J15" s="672" t="s">
        <v>1068</v>
      </c>
    </row>
    <row r="16" spans="1:18">
      <c r="A16" s="671"/>
    </row>
    <row r="17" spans="1:10">
      <c r="A17" s="664" t="s">
        <v>1005</v>
      </c>
    </row>
    <row r="18" spans="1:10" ht="20.149999999999999" customHeight="1">
      <c r="A18" s="671">
        <f>A15+1</f>
        <v>9</v>
      </c>
      <c r="B18" s="670" t="s">
        <v>1006</v>
      </c>
      <c r="C18" s="664" t="s">
        <v>98</v>
      </c>
      <c r="D18" s="785">
        <f>D8</f>
        <v>2023</v>
      </c>
      <c r="E18" s="124">
        <f t="shared" ref="E18:E21" si="3">SUM(F18:H18)</f>
        <v>-159638.84738990734</v>
      </c>
      <c r="F18" s="618">
        <f>'4c- ADIT BOY'!E78</f>
        <v>-159638.84738990734</v>
      </c>
      <c r="G18" s="618">
        <f>'4c- ADIT BOY'!F78</f>
        <v>0</v>
      </c>
      <c r="H18" s="618">
        <f>'4c- ADIT BOY'!G78</f>
        <v>0</v>
      </c>
      <c r="I18" s="618"/>
      <c r="J18" s="672"/>
    </row>
    <row r="19" spans="1:10" ht="20.149999999999999" customHeight="1">
      <c r="A19" s="671">
        <f>A18+1</f>
        <v>10</v>
      </c>
      <c r="B19" s="670" t="s">
        <v>1116</v>
      </c>
      <c r="C19" s="664" t="s">
        <v>98</v>
      </c>
      <c r="D19" s="785">
        <f t="shared" ref="D19:D20" si="4">D9</f>
        <v>2024</v>
      </c>
      <c r="E19" s="124">
        <f t="shared" si="3"/>
        <v>0</v>
      </c>
      <c r="F19" s="618">
        <f>'4d- ADIT EOY'!E78-'4d- ADIT EOY'!E75</f>
        <v>0</v>
      </c>
      <c r="G19" s="618">
        <f>'4d- ADIT EOY'!F78-'4d- ADIT EOY'!F75</f>
        <v>0</v>
      </c>
      <c r="H19" s="618">
        <f>'4d- ADIT EOY'!G78-'4d- ADIT EOY'!G75</f>
        <v>0</v>
      </c>
      <c r="I19" s="618"/>
      <c r="J19" s="672"/>
    </row>
    <row r="20" spans="1:10" ht="20.149999999999999" customHeight="1">
      <c r="A20" s="671">
        <f>A19+1</f>
        <v>11</v>
      </c>
      <c r="B20" s="670" t="s">
        <v>1094</v>
      </c>
      <c r="C20" s="664" t="s">
        <v>98</v>
      </c>
      <c r="D20" s="785">
        <f t="shared" si="4"/>
        <v>2024</v>
      </c>
      <c r="E20" s="124">
        <f t="shared" si="3"/>
        <v>0</v>
      </c>
      <c r="F20" s="674">
        <f>'4f-ADIT True-up Proration'!N37</f>
        <v>0</v>
      </c>
      <c r="G20" s="674">
        <f>'4f-ADIT True-up Proration'!W37</f>
        <v>0</v>
      </c>
      <c r="H20" s="674">
        <f>'4f-ADIT True-up Proration'!AF37</f>
        <v>0</v>
      </c>
      <c r="I20" s="674"/>
      <c r="J20" s="674"/>
    </row>
    <row r="21" spans="1:10" ht="20.149999999999999" customHeight="1">
      <c r="A21" s="671">
        <f t="shared" ref="A21:A25" si="5">A20+1</f>
        <v>12</v>
      </c>
      <c r="B21" s="670" t="s">
        <v>1075</v>
      </c>
      <c r="E21" s="124">
        <f t="shared" si="3"/>
        <v>0</v>
      </c>
      <c r="F21" s="674">
        <f t="shared" ref="F21:H21" si="6">F19+F20</f>
        <v>0</v>
      </c>
      <c r="G21" s="674">
        <f t="shared" si="6"/>
        <v>0</v>
      </c>
      <c r="H21" s="674">
        <f t="shared" si="6"/>
        <v>0</v>
      </c>
      <c r="I21" s="674"/>
      <c r="J21" s="674"/>
    </row>
    <row r="22" spans="1:10" ht="20.149999999999999" customHeight="1">
      <c r="A22" s="671">
        <f t="shared" si="5"/>
        <v>13</v>
      </c>
      <c r="B22" s="670" t="s">
        <v>999</v>
      </c>
      <c r="E22" s="672"/>
      <c r="F22" s="672">
        <v>1</v>
      </c>
      <c r="G22" s="672"/>
      <c r="H22" s="672"/>
      <c r="I22" s="672"/>
      <c r="J22" s="673">
        <v>1</v>
      </c>
    </row>
    <row r="23" spans="1:10" ht="20.149999999999999" customHeight="1">
      <c r="A23" s="671">
        <f t="shared" si="5"/>
        <v>14</v>
      </c>
      <c r="B23" s="670" t="s">
        <v>1000</v>
      </c>
      <c r="E23" s="672"/>
      <c r="F23" s="672"/>
      <c r="G23" s="672">
        <f>'Attachment H'!G$84</f>
        <v>1</v>
      </c>
      <c r="H23" s="672"/>
      <c r="I23" s="672"/>
      <c r="J23" s="664" t="s">
        <v>1001</v>
      </c>
    </row>
    <row r="24" spans="1:10" ht="20.149999999999999" customHeight="1">
      <c r="A24" s="671">
        <f t="shared" si="5"/>
        <v>15</v>
      </c>
      <c r="B24" s="670" t="s">
        <v>1002</v>
      </c>
      <c r="E24" s="672"/>
      <c r="F24" s="672"/>
      <c r="G24" s="672"/>
      <c r="H24" s="672">
        <f>'Attachment H'!I$199</f>
        <v>1</v>
      </c>
      <c r="I24" s="672"/>
      <c r="J24" s="664" t="s">
        <v>1003</v>
      </c>
    </row>
    <row r="25" spans="1:10" ht="20.149999999999999" customHeight="1">
      <c r="A25" s="671">
        <f t="shared" si="5"/>
        <v>16</v>
      </c>
      <c r="B25" s="670" t="s">
        <v>1004</v>
      </c>
      <c r="E25" s="672">
        <f>+E21</f>
        <v>0</v>
      </c>
      <c r="F25" s="672">
        <f>+F21*F22</f>
        <v>0</v>
      </c>
      <c r="G25" s="672">
        <f>+G21*G23</f>
        <v>0</v>
      </c>
      <c r="H25" s="672">
        <f>+H21*H24</f>
        <v>0</v>
      </c>
      <c r="I25" s="672">
        <f>+F25+G25+H25</f>
        <v>0</v>
      </c>
      <c r="J25" s="672" t="s">
        <v>1068</v>
      </c>
    </row>
    <row r="26" spans="1:10">
      <c r="A26" s="671"/>
    </row>
    <row r="27" spans="1:10">
      <c r="A27" s="664" t="s">
        <v>1007</v>
      </c>
    </row>
    <row r="28" spans="1:10" ht="20.149999999999999" customHeight="1">
      <c r="A28" s="671">
        <f>A25+1</f>
        <v>17</v>
      </c>
      <c r="B28" s="670" t="s">
        <v>1008</v>
      </c>
      <c r="C28" s="664" t="s">
        <v>98</v>
      </c>
      <c r="D28" s="785">
        <f>D18</f>
        <v>2023</v>
      </c>
      <c r="E28" s="124">
        <f t="shared" ref="E28:E31" si="7">SUM(F28:H28)</f>
        <v>-12723.165763105524</v>
      </c>
      <c r="F28" s="618">
        <f>'4c- ADIT BOY'!E32</f>
        <v>-12723.165763105524</v>
      </c>
      <c r="G28" s="618">
        <f>'4c- ADIT BOY'!F32</f>
        <v>0</v>
      </c>
      <c r="H28" s="618">
        <f>'4c- ADIT BOY'!G32</f>
        <v>0</v>
      </c>
      <c r="I28" s="618"/>
      <c r="J28" s="672"/>
    </row>
    <row r="29" spans="1:10" ht="20.149999999999999" customHeight="1">
      <c r="A29" s="671">
        <f>A28+1</f>
        <v>18</v>
      </c>
      <c r="B29" s="670" t="s">
        <v>1117</v>
      </c>
      <c r="C29" s="664" t="s">
        <v>98</v>
      </c>
      <c r="D29" s="785">
        <f t="shared" ref="D29:D30" si="8">D19</f>
        <v>2024</v>
      </c>
      <c r="E29" s="124">
        <f t="shared" si="7"/>
        <v>0</v>
      </c>
      <c r="F29" s="618">
        <f>'4d- ADIT EOY'!E32-'4d- ADIT EOY'!E29</f>
        <v>0</v>
      </c>
      <c r="G29" s="618">
        <f>'4d- ADIT EOY'!F32-'4d- ADIT EOY'!F29</f>
        <v>0</v>
      </c>
      <c r="H29" s="618">
        <f>'4d- ADIT EOY'!G32-'4d- ADIT EOY'!G29</f>
        <v>0</v>
      </c>
      <c r="I29" s="618"/>
      <c r="J29" s="672"/>
    </row>
    <row r="30" spans="1:10" ht="20.149999999999999" customHeight="1">
      <c r="A30" s="671">
        <f t="shared" ref="A30:A35" si="9">A29+1</f>
        <v>19</v>
      </c>
      <c r="B30" s="670" t="s">
        <v>1095</v>
      </c>
      <c r="C30" s="664" t="s">
        <v>98</v>
      </c>
      <c r="D30" s="785">
        <f t="shared" si="8"/>
        <v>2024</v>
      </c>
      <c r="E30" s="124">
        <f t="shared" si="7"/>
        <v>280.45531215862775</v>
      </c>
      <c r="F30" s="674">
        <f>'4f-ADIT True-up Proration'!N53</f>
        <v>280.45531215862775</v>
      </c>
      <c r="G30" s="674">
        <f>'4f-ADIT True-up Proration'!W53</f>
        <v>0</v>
      </c>
      <c r="H30" s="674">
        <f>'4f-ADIT True-up Proration'!AF53</f>
        <v>0</v>
      </c>
      <c r="I30" s="674"/>
      <c r="J30" s="674"/>
    </row>
    <row r="31" spans="1:10" ht="20.149999999999999" customHeight="1">
      <c r="A31" s="671">
        <f t="shared" si="9"/>
        <v>20</v>
      </c>
      <c r="B31" s="670" t="s">
        <v>1075</v>
      </c>
      <c r="E31" s="124">
        <f t="shared" si="7"/>
        <v>280.45531215862775</v>
      </c>
      <c r="F31" s="674">
        <f t="shared" ref="F31:H31" si="10">F29+F30</f>
        <v>280.45531215862775</v>
      </c>
      <c r="G31" s="674">
        <f t="shared" si="10"/>
        <v>0</v>
      </c>
      <c r="H31" s="674">
        <f t="shared" si="10"/>
        <v>0</v>
      </c>
      <c r="I31" s="674"/>
      <c r="J31" s="674"/>
    </row>
    <row r="32" spans="1:10" ht="20.149999999999999" customHeight="1">
      <c r="A32" s="671">
        <f t="shared" si="9"/>
        <v>21</v>
      </c>
      <c r="B32" s="670" t="s">
        <v>999</v>
      </c>
      <c r="E32" s="672"/>
      <c r="F32" s="672">
        <v>1</v>
      </c>
      <c r="G32" s="672"/>
      <c r="H32" s="672"/>
      <c r="I32" s="672"/>
      <c r="J32" s="673">
        <v>1</v>
      </c>
    </row>
    <row r="33" spans="1:10" ht="20.149999999999999" customHeight="1">
      <c r="A33" s="671">
        <f t="shared" si="9"/>
        <v>22</v>
      </c>
      <c r="B33" s="670" t="s">
        <v>1000</v>
      </c>
      <c r="E33" s="672"/>
      <c r="F33" s="672"/>
      <c r="G33" s="672">
        <f>'Attachment H'!G$84</f>
        <v>1</v>
      </c>
      <c r="H33" s="672"/>
      <c r="I33" s="672"/>
      <c r="J33" s="664" t="s">
        <v>1001</v>
      </c>
    </row>
    <row r="34" spans="1:10" ht="20.149999999999999" customHeight="1">
      <c r="A34" s="671">
        <f t="shared" si="9"/>
        <v>23</v>
      </c>
      <c r="B34" s="670" t="s">
        <v>1002</v>
      </c>
      <c r="E34" s="672"/>
      <c r="F34" s="672"/>
      <c r="G34" s="672"/>
      <c r="H34" s="672">
        <f>'Attachment H'!I$199</f>
        <v>1</v>
      </c>
      <c r="I34" s="672"/>
      <c r="J34" s="664" t="s">
        <v>1003</v>
      </c>
    </row>
    <row r="35" spans="1:10" ht="20.149999999999999" customHeight="1">
      <c r="A35" s="671">
        <f t="shared" si="9"/>
        <v>24</v>
      </c>
      <c r="B35" s="670" t="s">
        <v>1004</v>
      </c>
      <c r="E35" s="672">
        <f>+E31</f>
        <v>280.45531215862775</v>
      </c>
      <c r="F35" s="672">
        <f>+F31*F32</f>
        <v>280.45531215862775</v>
      </c>
      <c r="G35" s="672">
        <f>+G31*G33</f>
        <v>0</v>
      </c>
      <c r="H35" s="672">
        <f>+H31*H34</f>
        <v>0</v>
      </c>
      <c r="I35" s="672">
        <f>+F35+G35+H35</f>
        <v>280.45531215862775</v>
      </c>
      <c r="J35" s="672" t="s">
        <v>1068</v>
      </c>
    </row>
    <row r="36" spans="1:10">
      <c r="D36" s="666"/>
    </row>
    <row r="37" spans="1:10">
      <c r="D37" s="449"/>
    </row>
    <row r="38" spans="1:10">
      <c r="D38" s="449"/>
    </row>
    <row r="39" spans="1:10">
      <c r="D39" s="449"/>
    </row>
    <row r="40" spans="1:10">
      <c r="D40" s="449"/>
    </row>
    <row r="41" spans="1:10">
      <c r="D41" s="449"/>
    </row>
    <row r="42" spans="1:10">
      <c r="D42" s="449"/>
    </row>
    <row r="43" spans="1:10">
      <c r="D43" s="449"/>
    </row>
    <row r="44" spans="1:10">
      <c r="D44" s="449"/>
    </row>
    <row r="45" spans="1:10">
      <c r="D45" s="449"/>
    </row>
    <row r="46" spans="1:10">
      <c r="D46" s="449"/>
    </row>
    <row r="47" spans="1:10">
      <c r="B47" s="664"/>
      <c r="D47" s="449"/>
    </row>
    <row r="48" spans="1:10">
      <c r="D48" s="449"/>
    </row>
    <row r="49" spans="2:4">
      <c r="B49" s="664"/>
      <c r="D49" s="449"/>
    </row>
    <row r="153" spans="8:9">
      <c r="H153" s="677"/>
      <c r="I153" s="677"/>
    </row>
  </sheetData>
  <mergeCells count="3">
    <mergeCell ref="A1:J1"/>
    <mergeCell ref="A2:J2"/>
    <mergeCell ref="A3:J3"/>
  </mergeCells>
  <printOptions horizontalCentered="1"/>
  <pageMargins left="0.25" right="0.25" top="0.75" bottom="0.75" header="0.3" footer="0.3"/>
  <pageSetup scale="14" orientation="landscape" r:id="rId1"/>
  <headerFooter alignWithMargins="0"/>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C72A-6D0D-4159-ADB6-681E92214985}">
  <sheetPr codeName="Sheet12"/>
  <dimension ref="A1:AG74"/>
  <sheetViews>
    <sheetView workbookViewId="0">
      <selection sqref="A1:N1"/>
    </sheetView>
  </sheetViews>
  <sheetFormatPr defaultColWidth="8.84375" defaultRowHeight="13"/>
  <cols>
    <col min="1" max="1" width="5.69140625" style="664" customWidth="1"/>
    <col min="2" max="2" width="25.84375" style="670" customWidth="1"/>
    <col min="3" max="3" width="10.69140625" style="664" customWidth="1"/>
    <col min="4" max="4" width="9.84375" style="664" customWidth="1"/>
    <col min="5" max="5" width="10" style="664" customWidth="1"/>
    <col min="6" max="14" width="10.69140625" style="664" customWidth="1"/>
    <col min="15" max="32" width="10.69140625" style="788" customWidth="1"/>
    <col min="33" max="16384" width="8.84375" style="664"/>
  </cols>
  <sheetData>
    <row r="1" spans="1:33">
      <c r="A1" s="978" t="s">
        <v>1080</v>
      </c>
      <c r="B1" s="978"/>
      <c r="C1" s="978"/>
      <c r="D1" s="978"/>
      <c r="E1" s="978"/>
      <c r="F1" s="978"/>
      <c r="G1" s="978"/>
      <c r="H1" s="978"/>
      <c r="I1" s="978"/>
      <c r="J1" s="978"/>
      <c r="K1" s="978"/>
      <c r="L1" s="978"/>
      <c r="M1" s="978"/>
      <c r="N1" s="978"/>
    </row>
    <row r="2" spans="1:33">
      <c r="A2" s="978" t="str">
        <f>+'Attachment H'!D5</f>
        <v>Gridliance High Plains LLC</v>
      </c>
      <c r="B2" s="978"/>
      <c r="C2" s="978"/>
      <c r="D2" s="978"/>
      <c r="E2" s="978"/>
      <c r="F2" s="978"/>
      <c r="G2" s="978"/>
      <c r="H2" s="978"/>
      <c r="I2" s="978"/>
      <c r="J2" s="978"/>
      <c r="K2" s="978"/>
      <c r="L2" s="978"/>
      <c r="M2" s="978"/>
      <c r="N2" s="978"/>
    </row>
    <row r="3" spans="1:33">
      <c r="A3" s="978" t="s">
        <v>1276</v>
      </c>
      <c r="B3" s="978"/>
      <c r="C3" s="978"/>
      <c r="D3" s="978"/>
      <c r="E3" s="978"/>
      <c r="F3" s="978"/>
      <c r="G3" s="978"/>
      <c r="H3" s="978"/>
      <c r="I3" s="978"/>
      <c r="J3" s="978"/>
      <c r="K3" s="978"/>
      <c r="L3" s="978"/>
      <c r="M3" s="978"/>
      <c r="N3" s="978"/>
      <c r="O3" s="664"/>
      <c r="P3" s="664"/>
      <c r="Q3" s="664"/>
      <c r="R3" s="664"/>
      <c r="S3" s="664"/>
      <c r="T3" s="664"/>
      <c r="U3" s="664"/>
      <c r="V3" s="664"/>
      <c r="W3" s="664"/>
      <c r="X3" s="664"/>
      <c r="Y3" s="664"/>
      <c r="Z3" s="664"/>
      <c r="AA3" s="664"/>
      <c r="AB3" s="664"/>
      <c r="AC3" s="664"/>
      <c r="AD3" s="664"/>
      <c r="AE3" s="664"/>
      <c r="AF3" s="664"/>
    </row>
    <row r="4" spans="1:33" ht="13.5" thickBot="1">
      <c r="O4" s="664"/>
      <c r="P4" s="664"/>
      <c r="Q4" s="664"/>
      <c r="R4" s="664"/>
      <c r="S4" s="664"/>
      <c r="T4" s="664"/>
      <c r="U4" s="664"/>
      <c r="V4" s="664"/>
      <c r="W4" s="664"/>
      <c r="X4" s="664"/>
      <c r="Y4" s="664"/>
      <c r="Z4" s="664"/>
      <c r="AA4" s="664"/>
      <c r="AB4" s="664"/>
      <c r="AC4" s="664"/>
      <c r="AD4" s="664"/>
      <c r="AE4" s="664"/>
      <c r="AF4" s="664"/>
    </row>
    <row r="5" spans="1:33">
      <c r="F5" s="985" t="s">
        <v>25</v>
      </c>
      <c r="G5" s="986"/>
      <c r="H5" s="986"/>
      <c r="I5" s="986"/>
      <c r="J5" s="986"/>
      <c r="K5" s="986"/>
      <c r="L5" s="986"/>
      <c r="M5" s="986"/>
      <c r="N5" s="987"/>
      <c r="O5" s="985" t="s">
        <v>994</v>
      </c>
      <c r="P5" s="986"/>
      <c r="Q5" s="986"/>
      <c r="R5" s="986"/>
      <c r="S5" s="986"/>
      <c r="T5" s="986"/>
      <c r="U5" s="986"/>
      <c r="V5" s="986"/>
      <c r="W5" s="987"/>
      <c r="X5" s="985" t="s">
        <v>995</v>
      </c>
      <c r="Y5" s="986"/>
      <c r="Z5" s="986"/>
      <c r="AA5" s="986"/>
      <c r="AB5" s="986"/>
      <c r="AC5" s="986"/>
      <c r="AD5" s="986"/>
      <c r="AE5" s="986"/>
      <c r="AF5" s="987"/>
      <c r="AG5" s="666"/>
    </row>
    <row r="6" spans="1:33">
      <c r="B6" s="666" t="s">
        <v>292</v>
      </c>
      <c r="C6" s="666" t="s">
        <v>293</v>
      </c>
      <c r="D6" s="666" t="s">
        <v>294</v>
      </c>
      <c r="E6" s="666" t="s">
        <v>295</v>
      </c>
      <c r="F6" s="749" t="s">
        <v>297</v>
      </c>
      <c r="G6" s="666" t="s">
        <v>296</v>
      </c>
      <c r="H6" s="666" t="s">
        <v>298</v>
      </c>
      <c r="I6" s="666" t="s">
        <v>296</v>
      </c>
      <c r="J6" s="666" t="s">
        <v>298</v>
      </c>
      <c r="K6" s="666" t="s">
        <v>299</v>
      </c>
      <c r="L6" s="666" t="s">
        <v>300</v>
      </c>
      <c r="M6" s="666" t="s">
        <v>393</v>
      </c>
      <c r="N6" s="750" t="s">
        <v>397</v>
      </c>
      <c r="O6" s="749" t="s">
        <v>297</v>
      </c>
      <c r="P6" s="666" t="s">
        <v>296</v>
      </c>
      <c r="Q6" s="666" t="s">
        <v>298</v>
      </c>
      <c r="R6" s="666" t="s">
        <v>296</v>
      </c>
      <c r="S6" s="666" t="s">
        <v>298</v>
      </c>
      <c r="T6" s="666" t="s">
        <v>299</v>
      </c>
      <c r="U6" s="666" t="s">
        <v>300</v>
      </c>
      <c r="V6" s="666" t="s">
        <v>393</v>
      </c>
      <c r="W6" s="750" t="s">
        <v>397</v>
      </c>
      <c r="X6" s="749" t="s">
        <v>297</v>
      </c>
      <c r="Y6" s="666" t="s">
        <v>296</v>
      </c>
      <c r="Z6" s="666" t="s">
        <v>298</v>
      </c>
      <c r="AA6" s="666" t="s">
        <v>296</v>
      </c>
      <c r="AB6" s="666" t="s">
        <v>298</v>
      </c>
      <c r="AC6" s="666" t="s">
        <v>299</v>
      </c>
      <c r="AD6" s="666" t="s">
        <v>300</v>
      </c>
      <c r="AE6" s="666" t="s">
        <v>393</v>
      </c>
      <c r="AF6" s="750" t="s">
        <v>397</v>
      </c>
    </row>
    <row r="7" spans="1:33" ht="78">
      <c r="A7" s="751"/>
      <c r="B7" s="669" t="s">
        <v>991</v>
      </c>
      <c r="C7" s="669" t="s">
        <v>252</v>
      </c>
      <c r="D7" s="669" t="s">
        <v>96</v>
      </c>
      <c r="E7" s="669" t="s">
        <v>1010</v>
      </c>
      <c r="F7" s="752" t="s">
        <v>1081</v>
      </c>
      <c r="G7" s="669" t="s">
        <v>1082</v>
      </c>
      <c r="H7" s="669" t="s">
        <v>1083</v>
      </c>
      <c r="I7" s="669" t="s">
        <v>1084</v>
      </c>
      <c r="J7" s="669" t="s">
        <v>1085</v>
      </c>
      <c r="K7" s="669" t="s">
        <v>1086</v>
      </c>
      <c r="L7" s="669" t="s">
        <v>1087</v>
      </c>
      <c r="M7" s="669" t="s">
        <v>1088</v>
      </c>
      <c r="N7" s="753" t="s">
        <v>1089</v>
      </c>
      <c r="O7" s="752" t="s">
        <v>1081</v>
      </c>
      <c r="P7" s="669" t="s">
        <v>1082</v>
      </c>
      <c r="Q7" s="669" t="s">
        <v>1083</v>
      </c>
      <c r="R7" s="669" t="s">
        <v>1084</v>
      </c>
      <c r="S7" s="669" t="s">
        <v>1085</v>
      </c>
      <c r="T7" s="669" t="s">
        <v>1086</v>
      </c>
      <c r="U7" s="669" t="s">
        <v>1087</v>
      </c>
      <c r="V7" s="669" t="s">
        <v>1088</v>
      </c>
      <c r="W7" s="753" t="s">
        <v>1089</v>
      </c>
      <c r="X7" s="752" t="s">
        <v>1081</v>
      </c>
      <c r="Y7" s="669" t="s">
        <v>1082</v>
      </c>
      <c r="Z7" s="669" t="s">
        <v>1083</v>
      </c>
      <c r="AA7" s="669" t="s">
        <v>1084</v>
      </c>
      <c r="AB7" s="669" t="s">
        <v>1085</v>
      </c>
      <c r="AC7" s="669" t="s">
        <v>1086</v>
      </c>
      <c r="AD7" s="669" t="s">
        <v>1087</v>
      </c>
      <c r="AE7" s="669" t="s">
        <v>1088</v>
      </c>
      <c r="AF7" s="753" t="s">
        <v>1089</v>
      </c>
      <c r="AG7" s="666"/>
    </row>
    <row r="8" spans="1:33">
      <c r="A8" s="664" t="s">
        <v>1090</v>
      </c>
      <c r="D8" s="666"/>
      <c r="E8" s="666"/>
      <c r="F8" s="754"/>
      <c r="N8" s="755"/>
      <c r="O8" s="754"/>
      <c r="P8" s="664"/>
      <c r="Q8" s="664"/>
      <c r="R8" s="664"/>
      <c r="S8" s="664"/>
      <c r="T8" s="664"/>
      <c r="U8" s="664"/>
      <c r="V8" s="664"/>
      <c r="W8" s="755"/>
      <c r="X8" s="754"/>
      <c r="Y8" s="664"/>
      <c r="Z8" s="664"/>
      <c r="AA8" s="664"/>
      <c r="AB8" s="664"/>
      <c r="AC8" s="664"/>
      <c r="AD8" s="664"/>
      <c r="AE8" s="664"/>
      <c r="AF8" s="755"/>
      <c r="AG8" s="666"/>
    </row>
    <row r="9" spans="1:33">
      <c r="A9" s="671">
        <v>1</v>
      </c>
      <c r="B9" s="670" t="s">
        <v>1016</v>
      </c>
      <c r="C9" s="664" t="s">
        <v>98</v>
      </c>
      <c r="D9" s="785">
        <v>2023</v>
      </c>
      <c r="E9" s="756">
        <f>365/365</f>
        <v>1</v>
      </c>
      <c r="F9" s="757"/>
      <c r="G9" s="449"/>
      <c r="H9" s="449">
        <f>'4c- ADIT BOY'!E54</f>
        <v>-1718231.4627663651</v>
      </c>
      <c r="I9" s="449"/>
      <c r="J9" s="449"/>
      <c r="K9" s="449"/>
      <c r="L9" s="449"/>
      <c r="M9" s="449"/>
      <c r="N9" s="758">
        <v>0</v>
      </c>
      <c r="O9" s="757"/>
      <c r="P9" s="449"/>
      <c r="Q9" s="449">
        <f>'4c- ADIT BOY'!F54</f>
        <v>0</v>
      </c>
      <c r="R9" s="449"/>
      <c r="S9" s="449"/>
      <c r="T9" s="449"/>
      <c r="U9" s="449"/>
      <c r="V9" s="449"/>
      <c r="W9" s="758">
        <v>0</v>
      </c>
      <c r="X9" s="757"/>
      <c r="Y9" s="449"/>
      <c r="Z9" s="449">
        <f>'4c- ADIT BOY'!G54</f>
        <v>0</v>
      </c>
      <c r="AA9" s="449"/>
      <c r="AB9" s="449"/>
      <c r="AC9" s="449"/>
      <c r="AD9" s="449"/>
      <c r="AE9" s="449"/>
      <c r="AF9" s="758">
        <v>0</v>
      </c>
    </row>
    <row r="10" spans="1:33">
      <c r="A10" s="671">
        <f t="shared" ref="A10:A22" si="0">+A9+1</f>
        <v>2</v>
      </c>
      <c r="B10" s="670" t="s">
        <v>1017</v>
      </c>
      <c r="C10" s="664" t="s">
        <v>105</v>
      </c>
      <c r="D10" s="785">
        <v>2024</v>
      </c>
      <c r="E10" s="756">
        <f>335/365</f>
        <v>0.9178082191780822</v>
      </c>
      <c r="F10" s="757">
        <f>'4b-ADIT Projection Proration'!G10</f>
        <v>-14027.042121017914</v>
      </c>
      <c r="G10" s="449">
        <f>$E10*F10</f>
        <v>-12874.134549427401</v>
      </c>
      <c r="H10" s="449">
        <f>+G10+H9</f>
        <v>-1731105.5973157925</v>
      </c>
      <c r="I10" s="443">
        <v>0</v>
      </c>
      <c r="J10" s="449">
        <f t="shared" ref="J10:J21" si="1">I10-F10</f>
        <v>14027.042121017914</v>
      </c>
      <c r="K10" s="449">
        <f>IF(J10&gt;=0,+J10,0)</f>
        <v>14027.042121017914</v>
      </c>
      <c r="L10" s="449">
        <f>IF(K10&gt;0,0,IF(I10&lt;0,0,(-(J10)*($E10))))</f>
        <v>0</v>
      </c>
      <c r="M10" s="449">
        <f>IF(K10&gt;0,0,IF(I10&gt;0,0,(-(J10)*($E10))))</f>
        <v>0</v>
      </c>
      <c r="N10" s="758">
        <f>IF(I10&lt;0,N9+M10,N9+$G10+K10-L10)</f>
        <v>1152.9075715905128</v>
      </c>
      <c r="O10" s="757">
        <f>'4b-ADIT Projection Proration'!I10</f>
        <v>0</v>
      </c>
      <c r="P10" s="449">
        <f t="shared" ref="P10:P21" si="2">$E10*O10</f>
        <v>0</v>
      </c>
      <c r="Q10" s="449">
        <f>+P10+Q9</f>
        <v>0</v>
      </c>
      <c r="R10" s="443">
        <v>0</v>
      </c>
      <c r="S10" s="449">
        <f t="shared" ref="S10:S21" si="3">R10-O10</f>
        <v>0</v>
      </c>
      <c r="T10" s="449">
        <f>IF(S10&gt;=0,+S10,0)</f>
        <v>0</v>
      </c>
      <c r="U10" s="449">
        <f t="shared" ref="U10:U21" si="4">IF(T10&gt;0,0,IF(R10&lt;0,0,(-(S10)*($E10))))</f>
        <v>0</v>
      </c>
      <c r="V10" s="449">
        <f t="shared" ref="V10:V21" si="5">IF(T10&gt;0,0,IF(R10&gt;0,0,(-(S10)*($E10))))</f>
        <v>0</v>
      </c>
      <c r="W10" s="758">
        <f>IF(R10&lt;0,W9+V10,W9+P10+T10-U10)</f>
        <v>0</v>
      </c>
      <c r="X10" s="757">
        <f>'4b-ADIT Projection Proration'!K10</f>
        <v>0</v>
      </c>
      <c r="Y10" s="449">
        <f t="shared" ref="Y10:Y21" si="6">$E10*X10</f>
        <v>0</v>
      </c>
      <c r="Z10" s="449">
        <f>+Y10+Z9</f>
        <v>0</v>
      </c>
      <c r="AA10" s="443">
        <v>0</v>
      </c>
      <c r="AB10" s="449">
        <f t="shared" ref="AB10:AB21" si="7">AA10-X10</f>
        <v>0</v>
      </c>
      <c r="AC10" s="449">
        <f>IF(AB10&gt;=0,+AB10,0)</f>
        <v>0</v>
      </c>
      <c r="AD10" s="449">
        <f t="shared" ref="AD10:AD21" si="8">IF(AC10&gt;0,0,IF(AA10&lt;0,0,(-(AB10)*($E10))))</f>
        <v>0</v>
      </c>
      <c r="AE10" s="449">
        <f t="shared" ref="AE10:AE21" si="9">IF(AC10&gt;0,0,IF(AA10&gt;0,0,(-(AB10)*($E10))))</f>
        <v>0</v>
      </c>
      <c r="AF10" s="758">
        <f>IF(AA10&lt;0,AF9+AE10,AF9+Y10+AC10-AD10)</f>
        <v>0</v>
      </c>
    </row>
    <row r="11" spans="1:33">
      <c r="A11" s="671">
        <f t="shared" si="0"/>
        <v>3</v>
      </c>
      <c r="B11" s="670" t="s">
        <v>1017</v>
      </c>
      <c r="C11" s="664" t="s">
        <v>104</v>
      </c>
      <c r="D11" s="785">
        <v>2024</v>
      </c>
      <c r="E11" s="756">
        <f>307/365</f>
        <v>0.84109589041095889</v>
      </c>
      <c r="F11" s="757">
        <f>'4b-ADIT Projection Proration'!G11</f>
        <v>-14027.042121017914</v>
      </c>
      <c r="G11" s="449">
        <f t="shared" ref="G11:G21" si="10">$E11*F11</f>
        <v>-11798.087482609588</v>
      </c>
      <c r="H11" s="449">
        <f t="shared" ref="H11:H21" si="11">+G11+H10</f>
        <v>-1742903.684798402</v>
      </c>
      <c r="I11" s="443">
        <v>0</v>
      </c>
      <c r="J11" s="449">
        <f t="shared" si="1"/>
        <v>14027.042121017914</v>
      </c>
      <c r="K11" s="449">
        <f t="shared" ref="K11:K21" si="12">IF(J11&gt;=0,+J11,0)</f>
        <v>14027.042121017914</v>
      </c>
      <c r="L11" s="449">
        <f t="shared" ref="L11:L21" si="13">IF(K11&gt;0,0,IF(I11&lt;0,0,(-(J11)*($E11))))</f>
        <v>0</v>
      </c>
      <c r="M11" s="449">
        <f t="shared" ref="M11:M21" si="14">IF(K11&gt;0,0,IF(I11&gt;0,0,(-(J11)*($E11))))</f>
        <v>0</v>
      </c>
      <c r="N11" s="758">
        <f t="shared" ref="N11:N21" si="15">IF(I11&lt;0,N10+M11,N10+$G11+K11-L11)</f>
        <v>3381.8622099988388</v>
      </c>
      <c r="O11" s="757">
        <f>'4b-ADIT Projection Proration'!I11</f>
        <v>0</v>
      </c>
      <c r="P11" s="449">
        <f t="shared" si="2"/>
        <v>0</v>
      </c>
      <c r="Q11" s="449">
        <f t="shared" ref="Q11:Q21" si="16">+P11+Q10</f>
        <v>0</v>
      </c>
      <c r="R11" s="443">
        <v>0</v>
      </c>
      <c r="S11" s="449">
        <f t="shared" si="3"/>
        <v>0</v>
      </c>
      <c r="T11" s="449">
        <f t="shared" ref="T11:T21" si="17">IF(S11&gt;=0,+S11,0)</f>
        <v>0</v>
      </c>
      <c r="U11" s="449">
        <f t="shared" si="4"/>
        <v>0</v>
      </c>
      <c r="V11" s="449">
        <f t="shared" si="5"/>
        <v>0</v>
      </c>
      <c r="W11" s="758">
        <f t="shared" ref="W11:W21" si="18">IF(R11&lt;0,W10+V11,W10+P11+T11-U11)</f>
        <v>0</v>
      </c>
      <c r="X11" s="757">
        <f>'4b-ADIT Projection Proration'!K11</f>
        <v>0</v>
      </c>
      <c r="Y11" s="449">
        <f t="shared" si="6"/>
        <v>0</v>
      </c>
      <c r="Z11" s="449">
        <f t="shared" ref="Z11:Z21" si="19">+Y11+Z10</f>
        <v>0</v>
      </c>
      <c r="AA11" s="443">
        <v>0</v>
      </c>
      <c r="AB11" s="449">
        <f t="shared" si="7"/>
        <v>0</v>
      </c>
      <c r="AC11" s="449">
        <f t="shared" ref="AC11:AC21" si="20">IF(AB11&gt;=0,+AB11,0)</f>
        <v>0</v>
      </c>
      <c r="AD11" s="449">
        <f t="shared" si="8"/>
        <v>0</v>
      </c>
      <c r="AE11" s="449">
        <f t="shared" si="9"/>
        <v>0</v>
      </c>
      <c r="AF11" s="758">
        <f t="shared" ref="AF11:AF21" si="21">IF(AA11&lt;0,AF10+AE11,AF10+Y11+AC11-AD11)</f>
        <v>0</v>
      </c>
    </row>
    <row r="12" spans="1:33">
      <c r="A12" s="671">
        <f t="shared" si="0"/>
        <v>4</v>
      </c>
      <c r="B12" s="670" t="s">
        <v>1017</v>
      </c>
      <c r="C12" s="664" t="s">
        <v>103</v>
      </c>
      <c r="D12" s="785">
        <v>2024</v>
      </c>
      <c r="E12" s="756">
        <f>276/365</f>
        <v>0.75616438356164384</v>
      </c>
      <c r="F12" s="757">
        <f>'4b-ADIT Projection Proration'!G12</f>
        <v>-14027.042121017914</v>
      </c>
      <c r="G12" s="449">
        <f t="shared" si="10"/>
        <v>-10606.749658632723</v>
      </c>
      <c r="H12" s="449">
        <f t="shared" si="11"/>
        <v>-1753510.4344570348</v>
      </c>
      <c r="I12" s="443">
        <v>0</v>
      </c>
      <c r="J12" s="449">
        <f t="shared" si="1"/>
        <v>14027.042121017914</v>
      </c>
      <c r="K12" s="449">
        <f t="shared" si="12"/>
        <v>14027.042121017914</v>
      </c>
      <c r="L12" s="449">
        <f t="shared" si="13"/>
        <v>0</v>
      </c>
      <c r="M12" s="449">
        <f t="shared" si="14"/>
        <v>0</v>
      </c>
      <c r="N12" s="758">
        <f t="shared" si="15"/>
        <v>6802.1546723840293</v>
      </c>
      <c r="O12" s="757">
        <f>'4b-ADIT Projection Proration'!I12</f>
        <v>0</v>
      </c>
      <c r="P12" s="449">
        <f t="shared" si="2"/>
        <v>0</v>
      </c>
      <c r="Q12" s="449">
        <f t="shared" si="16"/>
        <v>0</v>
      </c>
      <c r="R12" s="443">
        <v>0</v>
      </c>
      <c r="S12" s="449">
        <f t="shared" si="3"/>
        <v>0</v>
      </c>
      <c r="T12" s="449">
        <f t="shared" si="17"/>
        <v>0</v>
      </c>
      <c r="U12" s="449">
        <f t="shared" si="4"/>
        <v>0</v>
      </c>
      <c r="V12" s="449">
        <f t="shared" si="5"/>
        <v>0</v>
      </c>
      <c r="W12" s="758">
        <f t="shared" si="18"/>
        <v>0</v>
      </c>
      <c r="X12" s="757">
        <f>'4b-ADIT Projection Proration'!K12</f>
        <v>0</v>
      </c>
      <c r="Y12" s="449">
        <f t="shared" si="6"/>
        <v>0</v>
      </c>
      <c r="Z12" s="449">
        <f t="shared" si="19"/>
        <v>0</v>
      </c>
      <c r="AA12" s="443">
        <v>0</v>
      </c>
      <c r="AB12" s="449">
        <f t="shared" si="7"/>
        <v>0</v>
      </c>
      <c r="AC12" s="449">
        <f t="shared" si="20"/>
        <v>0</v>
      </c>
      <c r="AD12" s="449">
        <f t="shared" si="8"/>
        <v>0</v>
      </c>
      <c r="AE12" s="449">
        <f t="shared" si="9"/>
        <v>0</v>
      </c>
      <c r="AF12" s="758">
        <f t="shared" si="21"/>
        <v>0</v>
      </c>
    </row>
    <row r="13" spans="1:33">
      <c r="A13" s="671">
        <f t="shared" si="0"/>
        <v>5</v>
      </c>
      <c r="B13" s="670" t="s">
        <v>1017</v>
      </c>
      <c r="C13" s="664" t="s">
        <v>95</v>
      </c>
      <c r="D13" s="785">
        <v>2024</v>
      </c>
      <c r="E13" s="756">
        <f>246/365</f>
        <v>0.67397260273972603</v>
      </c>
      <c r="F13" s="757">
        <f>'4b-ADIT Projection Proration'!G13</f>
        <v>-14027.042121017914</v>
      </c>
      <c r="G13" s="449">
        <f t="shared" si="10"/>
        <v>-9453.8420870422106</v>
      </c>
      <c r="H13" s="449">
        <f t="shared" si="11"/>
        <v>-1762964.2765440771</v>
      </c>
      <c r="I13" s="443">
        <v>0</v>
      </c>
      <c r="J13" s="449">
        <f t="shared" si="1"/>
        <v>14027.042121017914</v>
      </c>
      <c r="K13" s="449">
        <f t="shared" si="12"/>
        <v>14027.042121017914</v>
      </c>
      <c r="L13" s="449">
        <f t="shared" si="13"/>
        <v>0</v>
      </c>
      <c r="M13" s="449">
        <f t="shared" si="14"/>
        <v>0</v>
      </c>
      <c r="N13" s="758">
        <f t="shared" si="15"/>
        <v>11375.354706359733</v>
      </c>
      <c r="O13" s="757">
        <f>'4b-ADIT Projection Proration'!I13</f>
        <v>0</v>
      </c>
      <c r="P13" s="449">
        <f t="shared" si="2"/>
        <v>0</v>
      </c>
      <c r="Q13" s="449">
        <f t="shared" si="16"/>
        <v>0</v>
      </c>
      <c r="R13" s="443">
        <v>0</v>
      </c>
      <c r="S13" s="449">
        <f t="shared" si="3"/>
        <v>0</v>
      </c>
      <c r="T13" s="449">
        <f t="shared" si="17"/>
        <v>0</v>
      </c>
      <c r="U13" s="449">
        <f t="shared" si="4"/>
        <v>0</v>
      </c>
      <c r="V13" s="449">
        <f t="shared" si="5"/>
        <v>0</v>
      </c>
      <c r="W13" s="758">
        <f t="shared" si="18"/>
        <v>0</v>
      </c>
      <c r="X13" s="757">
        <f>'4b-ADIT Projection Proration'!K13</f>
        <v>0</v>
      </c>
      <c r="Y13" s="449">
        <f t="shared" si="6"/>
        <v>0</v>
      </c>
      <c r="Z13" s="449">
        <f t="shared" si="19"/>
        <v>0</v>
      </c>
      <c r="AA13" s="443">
        <v>0</v>
      </c>
      <c r="AB13" s="449">
        <f t="shared" si="7"/>
        <v>0</v>
      </c>
      <c r="AC13" s="449">
        <f t="shared" si="20"/>
        <v>0</v>
      </c>
      <c r="AD13" s="449">
        <f t="shared" si="8"/>
        <v>0</v>
      </c>
      <c r="AE13" s="449">
        <f t="shared" si="9"/>
        <v>0</v>
      </c>
      <c r="AF13" s="758">
        <f t="shared" si="21"/>
        <v>0</v>
      </c>
    </row>
    <row r="14" spans="1:33">
      <c r="A14" s="671">
        <f t="shared" si="0"/>
        <v>6</v>
      </c>
      <c r="B14" s="670" t="s">
        <v>1017</v>
      </c>
      <c r="C14" s="664" t="s">
        <v>92</v>
      </c>
      <c r="D14" s="785">
        <v>2024</v>
      </c>
      <c r="E14" s="756">
        <f>215/365</f>
        <v>0.58904109589041098</v>
      </c>
      <c r="F14" s="757">
        <f>'4b-ADIT Projection Proration'!G14</f>
        <v>-14027.042121017914</v>
      </c>
      <c r="G14" s="449">
        <f t="shared" si="10"/>
        <v>-8262.5042630653461</v>
      </c>
      <c r="H14" s="449">
        <f t="shared" si="11"/>
        <v>-1771226.7808071424</v>
      </c>
      <c r="I14" s="443">
        <v>0</v>
      </c>
      <c r="J14" s="449">
        <f t="shared" si="1"/>
        <v>14027.042121017914</v>
      </c>
      <c r="K14" s="449">
        <f t="shared" si="12"/>
        <v>14027.042121017914</v>
      </c>
      <c r="L14" s="449">
        <f t="shared" si="13"/>
        <v>0</v>
      </c>
      <c r="M14" s="449">
        <f t="shared" si="14"/>
        <v>0</v>
      </c>
      <c r="N14" s="758">
        <f t="shared" si="15"/>
        <v>17139.8925643123</v>
      </c>
      <c r="O14" s="757">
        <f>'4b-ADIT Projection Proration'!I14</f>
        <v>0</v>
      </c>
      <c r="P14" s="449">
        <f t="shared" si="2"/>
        <v>0</v>
      </c>
      <c r="Q14" s="449">
        <f t="shared" si="16"/>
        <v>0</v>
      </c>
      <c r="R14" s="443">
        <v>0</v>
      </c>
      <c r="S14" s="449">
        <f t="shared" si="3"/>
        <v>0</v>
      </c>
      <c r="T14" s="449">
        <f t="shared" si="17"/>
        <v>0</v>
      </c>
      <c r="U14" s="449">
        <f t="shared" si="4"/>
        <v>0</v>
      </c>
      <c r="V14" s="449">
        <f t="shared" si="5"/>
        <v>0</v>
      </c>
      <c r="W14" s="758">
        <f t="shared" si="18"/>
        <v>0</v>
      </c>
      <c r="X14" s="757">
        <f>'4b-ADIT Projection Proration'!K14</f>
        <v>0</v>
      </c>
      <c r="Y14" s="449">
        <f t="shared" si="6"/>
        <v>0</v>
      </c>
      <c r="Z14" s="449">
        <f t="shared" si="19"/>
        <v>0</v>
      </c>
      <c r="AA14" s="443">
        <v>0</v>
      </c>
      <c r="AB14" s="449">
        <f t="shared" si="7"/>
        <v>0</v>
      </c>
      <c r="AC14" s="449">
        <f t="shared" si="20"/>
        <v>0</v>
      </c>
      <c r="AD14" s="449">
        <f t="shared" si="8"/>
        <v>0</v>
      </c>
      <c r="AE14" s="449">
        <f t="shared" si="9"/>
        <v>0</v>
      </c>
      <c r="AF14" s="758">
        <f t="shared" si="21"/>
        <v>0</v>
      </c>
    </row>
    <row r="15" spans="1:33">
      <c r="A15" s="671">
        <f t="shared" si="0"/>
        <v>7</v>
      </c>
      <c r="B15" s="670" t="s">
        <v>1017</v>
      </c>
      <c r="C15" s="664" t="s">
        <v>145</v>
      </c>
      <c r="D15" s="785">
        <v>2024</v>
      </c>
      <c r="E15" s="756">
        <f>185/365</f>
        <v>0.50684931506849318</v>
      </c>
      <c r="F15" s="757">
        <f>'4b-ADIT Projection Proration'!G15</f>
        <v>-14027.042121017914</v>
      </c>
      <c r="G15" s="449">
        <f t="shared" si="10"/>
        <v>-7109.5966914748333</v>
      </c>
      <c r="H15" s="449">
        <f t="shared" si="11"/>
        <v>-1778336.3774986172</v>
      </c>
      <c r="I15" s="443">
        <v>0</v>
      </c>
      <c r="J15" s="449">
        <f t="shared" si="1"/>
        <v>14027.042121017914</v>
      </c>
      <c r="K15" s="449">
        <f t="shared" si="12"/>
        <v>14027.042121017914</v>
      </c>
      <c r="L15" s="449">
        <f t="shared" si="13"/>
        <v>0</v>
      </c>
      <c r="M15" s="449">
        <f t="shared" si="14"/>
        <v>0</v>
      </c>
      <c r="N15" s="758">
        <f t="shared" si="15"/>
        <v>24057.337993855381</v>
      </c>
      <c r="O15" s="757">
        <f>'4b-ADIT Projection Proration'!I15</f>
        <v>0</v>
      </c>
      <c r="P15" s="449">
        <f t="shared" si="2"/>
        <v>0</v>
      </c>
      <c r="Q15" s="449">
        <f t="shared" si="16"/>
        <v>0</v>
      </c>
      <c r="R15" s="443">
        <v>0</v>
      </c>
      <c r="S15" s="449">
        <f t="shared" si="3"/>
        <v>0</v>
      </c>
      <c r="T15" s="449">
        <f t="shared" si="17"/>
        <v>0</v>
      </c>
      <c r="U15" s="449">
        <f t="shared" si="4"/>
        <v>0</v>
      </c>
      <c r="V15" s="449">
        <f t="shared" si="5"/>
        <v>0</v>
      </c>
      <c r="W15" s="758">
        <f t="shared" si="18"/>
        <v>0</v>
      </c>
      <c r="X15" s="757">
        <f>'4b-ADIT Projection Proration'!K15</f>
        <v>0</v>
      </c>
      <c r="Y15" s="449">
        <f t="shared" si="6"/>
        <v>0</v>
      </c>
      <c r="Z15" s="449">
        <f t="shared" si="19"/>
        <v>0</v>
      </c>
      <c r="AA15" s="443">
        <v>0</v>
      </c>
      <c r="AB15" s="449">
        <f t="shared" si="7"/>
        <v>0</v>
      </c>
      <c r="AC15" s="449">
        <f t="shared" si="20"/>
        <v>0</v>
      </c>
      <c r="AD15" s="449">
        <f t="shared" si="8"/>
        <v>0</v>
      </c>
      <c r="AE15" s="449">
        <f t="shared" si="9"/>
        <v>0</v>
      </c>
      <c r="AF15" s="758">
        <f t="shared" si="21"/>
        <v>0</v>
      </c>
    </row>
    <row r="16" spans="1:33">
      <c r="A16" s="671">
        <f t="shared" si="0"/>
        <v>8</v>
      </c>
      <c r="B16" s="670" t="s">
        <v>1017</v>
      </c>
      <c r="C16" s="664" t="s">
        <v>102</v>
      </c>
      <c r="D16" s="785">
        <v>2024</v>
      </c>
      <c r="E16" s="756">
        <f>154/365</f>
        <v>0.42191780821917807</v>
      </c>
      <c r="F16" s="757">
        <f>'4b-ADIT Projection Proration'!G16</f>
        <v>-14027.042121017914</v>
      </c>
      <c r="G16" s="449">
        <f t="shared" si="10"/>
        <v>-5918.2588674979688</v>
      </c>
      <c r="H16" s="449">
        <f t="shared" si="11"/>
        <v>-1784254.6363661152</v>
      </c>
      <c r="I16" s="443">
        <v>0</v>
      </c>
      <c r="J16" s="449">
        <f t="shared" si="1"/>
        <v>14027.042121017914</v>
      </c>
      <c r="K16" s="449">
        <f t="shared" si="12"/>
        <v>14027.042121017914</v>
      </c>
      <c r="L16" s="449">
        <f t="shared" si="13"/>
        <v>0</v>
      </c>
      <c r="M16" s="449">
        <f t="shared" si="14"/>
        <v>0</v>
      </c>
      <c r="N16" s="758">
        <f t="shared" si="15"/>
        <v>32166.121247375326</v>
      </c>
      <c r="O16" s="757">
        <f>'4b-ADIT Projection Proration'!I16</f>
        <v>0</v>
      </c>
      <c r="P16" s="449">
        <f t="shared" si="2"/>
        <v>0</v>
      </c>
      <c r="Q16" s="449">
        <f t="shared" si="16"/>
        <v>0</v>
      </c>
      <c r="R16" s="443">
        <v>0</v>
      </c>
      <c r="S16" s="449">
        <f t="shared" si="3"/>
        <v>0</v>
      </c>
      <c r="T16" s="449">
        <f t="shared" si="17"/>
        <v>0</v>
      </c>
      <c r="U16" s="449">
        <f t="shared" si="4"/>
        <v>0</v>
      </c>
      <c r="V16" s="449">
        <f t="shared" si="5"/>
        <v>0</v>
      </c>
      <c r="W16" s="758">
        <f t="shared" si="18"/>
        <v>0</v>
      </c>
      <c r="X16" s="757">
        <f>'4b-ADIT Projection Proration'!K16</f>
        <v>0</v>
      </c>
      <c r="Y16" s="449">
        <f t="shared" si="6"/>
        <v>0</v>
      </c>
      <c r="Z16" s="449">
        <f t="shared" si="19"/>
        <v>0</v>
      </c>
      <c r="AA16" s="443">
        <v>0</v>
      </c>
      <c r="AB16" s="449">
        <f t="shared" si="7"/>
        <v>0</v>
      </c>
      <c r="AC16" s="449">
        <f t="shared" si="20"/>
        <v>0</v>
      </c>
      <c r="AD16" s="449">
        <f t="shared" si="8"/>
        <v>0</v>
      </c>
      <c r="AE16" s="449">
        <f t="shared" si="9"/>
        <v>0</v>
      </c>
      <c r="AF16" s="758">
        <f t="shared" si="21"/>
        <v>0</v>
      </c>
    </row>
    <row r="17" spans="1:33">
      <c r="A17" s="671">
        <f t="shared" si="0"/>
        <v>9</v>
      </c>
      <c r="B17" s="670" t="s">
        <v>1017</v>
      </c>
      <c r="C17" s="664" t="s">
        <v>101</v>
      </c>
      <c r="D17" s="785">
        <v>2024</v>
      </c>
      <c r="E17" s="756">
        <f>123/365</f>
        <v>0.33698630136986302</v>
      </c>
      <c r="F17" s="757">
        <f>'4b-ADIT Projection Proration'!G17</f>
        <v>-14027.042121017914</v>
      </c>
      <c r="G17" s="449">
        <f t="shared" si="10"/>
        <v>-4726.9210435211053</v>
      </c>
      <c r="H17" s="449">
        <f t="shared" si="11"/>
        <v>-1788981.5574096362</v>
      </c>
      <c r="I17" s="443">
        <v>0</v>
      </c>
      <c r="J17" s="449">
        <f t="shared" si="1"/>
        <v>14027.042121017914</v>
      </c>
      <c r="K17" s="449">
        <f t="shared" si="12"/>
        <v>14027.042121017914</v>
      </c>
      <c r="L17" s="449">
        <f t="shared" si="13"/>
        <v>0</v>
      </c>
      <c r="M17" s="449">
        <f t="shared" si="14"/>
        <v>0</v>
      </c>
      <c r="N17" s="758">
        <f t="shared" si="15"/>
        <v>41466.242324872132</v>
      </c>
      <c r="O17" s="757">
        <f>'4b-ADIT Projection Proration'!I17</f>
        <v>0</v>
      </c>
      <c r="P17" s="449">
        <f t="shared" si="2"/>
        <v>0</v>
      </c>
      <c r="Q17" s="449">
        <f t="shared" si="16"/>
        <v>0</v>
      </c>
      <c r="R17" s="443">
        <v>0</v>
      </c>
      <c r="S17" s="449">
        <f t="shared" si="3"/>
        <v>0</v>
      </c>
      <c r="T17" s="449">
        <f t="shared" si="17"/>
        <v>0</v>
      </c>
      <c r="U17" s="449">
        <f t="shared" si="4"/>
        <v>0</v>
      </c>
      <c r="V17" s="449">
        <f t="shared" si="5"/>
        <v>0</v>
      </c>
      <c r="W17" s="758">
        <f t="shared" si="18"/>
        <v>0</v>
      </c>
      <c r="X17" s="757">
        <f>'4b-ADIT Projection Proration'!K17</f>
        <v>0</v>
      </c>
      <c r="Y17" s="449">
        <f t="shared" si="6"/>
        <v>0</v>
      </c>
      <c r="Z17" s="449">
        <f t="shared" si="19"/>
        <v>0</v>
      </c>
      <c r="AA17" s="443">
        <v>0</v>
      </c>
      <c r="AB17" s="449">
        <f t="shared" si="7"/>
        <v>0</v>
      </c>
      <c r="AC17" s="449">
        <f t="shared" si="20"/>
        <v>0</v>
      </c>
      <c r="AD17" s="449">
        <f t="shared" si="8"/>
        <v>0</v>
      </c>
      <c r="AE17" s="449">
        <f t="shared" si="9"/>
        <v>0</v>
      </c>
      <c r="AF17" s="758">
        <f t="shared" si="21"/>
        <v>0</v>
      </c>
    </row>
    <row r="18" spans="1:33">
      <c r="A18" s="671">
        <f t="shared" si="0"/>
        <v>10</v>
      </c>
      <c r="B18" s="670" t="s">
        <v>1017</v>
      </c>
      <c r="C18" s="664" t="s">
        <v>100</v>
      </c>
      <c r="D18" s="785">
        <v>2024</v>
      </c>
      <c r="E18" s="756">
        <f>93/365</f>
        <v>0.25479452054794521</v>
      </c>
      <c r="F18" s="757">
        <f>'4b-ADIT Projection Proration'!G18</f>
        <v>-14027.042121017914</v>
      </c>
      <c r="G18" s="449">
        <f t="shared" si="10"/>
        <v>-3574.013471930592</v>
      </c>
      <c r="H18" s="449">
        <f t="shared" si="11"/>
        <v>-1792555.5708815667</v>
      </c>
      <c r="I18" s="443">
        <v>0</v>
      </c>
      <c r="J18" s="449">
        <f t="shared" si="1"/>
        <v>14027.042121017914</v>
      </c>
      <c r="K18" s="449">
        <f t="shared" si="12"/>
        <v>14027.042121017914</v>
      </c>
      <c r="L18" s="449">
        <f t="shared" si="13"/>
        <v>0</v>
      </c>
      <c r="M18" s="449">
        <f t="shared" si="14"/>
        <v>0</v>
      </c>
      <c r="N18" s="758">
        <f t="shared" si="15"/>
        <v>51919.27097395945</v>
      </c>
      <c r="O18" s="757">
        <f>'4b-ADIT Projection Proration'!I18</f>
        <v>0</v>
      </c>
      <c r="P18" s="449">
        <f t="shared" si="2"/>
        <v>0</v>
      </c>
      <c r="Q18" s="449">
        <f t="shared" si="16"/>
        <v>0</v>
      </c>
      <c r="R18" s="443">
        <v>0</v>
      </c>
      <c r="S18" s="449">
        <f t="shared" si="3"/>
        <v>0</v>
      </c>
      <c r="T18" s="449">
        <f t="shared" si="17"/>
        <v>0</v>
      </c>
      <c r="U18" s="449">
        <f t="shared" si="4"/>
        <v>0</v>
      </c>
      <c r="V18" s="449">
        <f t="shared" si="5"/>
        <v>0</v>
      </c>
      <c r="W18" s="758">
        <f t="shared" si="18"/>
        <v>0</v>
      </c>
      <c r="X18" s="757">
        <f>'4b-ADIT Projection Proration'!K18</f>
        <v>0</v>
      </c>
      <c r="Y18" s="449">
        <f t="shared" si="6"/>
        <v>0</v>
      </c>
      <c r="Z18" s="449">
        <f t="shared" si="19"/>
        <v>0</v>
      </c>
      <c r="AA18" s="443">
        <v>0</v>
      </c>
      <c r="AB18" s="449">
        <f t="shared" si="7"/>
        <v>0</v>
      </c>
      <c r="AC18" s="449">
        <f t="shared" si="20"/>
        <v>0</v>
      </c>
      <c r="AD18" s="449">
        <f t="shared" si="8"/>
        <v>0</v>
      </c>
      <c r="AE18" s="449">
        <f t="shared" si="9"/>
        <v>0</v>
      </c>
      <c r="AF18" s="758">
        <f t="shared" si="21"/>
        <v>0</v>
      </c>
    </row>
    <row r="19" spans="1:33">
      <c r="A19" s="671">
        <f t="shared" si="0"/>
        <v>11</v>
      </c>
      <c r="B19" s="670" t="s">
        <v>1017</v>
      </c>
      <c r="C19" s="664" t="s">
        <v>106</v>
      </c>
      <c r="D19" s="785">
        <v>2024</v>
      </c>
      <c r="E19" s="756">
        <f>62/365</f>
        <v>0.16986301369863013</v>
      </c>
      <c r="F19" s="757">
        <f>'4b-ADIT Projection Proration'!G19</f>
        <v>-14027.042121017914</v>
      </c>
      <c r="G19" s="449">
        <f t="shared" si="10"/>
        <v>-2382.6756479537275</v>
      </c>
      <c r="H19" s="449">
        <f t="shared" si="11"/>
        <v>-1794938.2465295205</v>
      </c>
      <c r="I19" s="443">
        <v>0</v>
      </c>
      <c r="J19" s="449">
        <f t="shared" si="1"/>
        <v>14027.042121017914</v>
      </c>
      <c r="K19" s="449">
        <f t="shared" si="12"/>
        <v>14027.042121017914</v>
      </c>
      <c r="L19" s="449">
        <f t="shared" si="13"/>
        <v>0</v>
      </c>
      <c r="M19" s="449">
        <f t="shared" si="14"/>
        <v>0</v>
      </c>
      <c r="N19" s="758">
        <f t="shared" si="15"/>
        <v>63563.637447023633</v>
      </c>
      <c r="O19" s="757">
        <f>'4b-ADIT Projection Proration'!I19</f>
        <v>0</v>
      </c>
      <c r="P19" s="449">
        <f t="shared" si="2"/>
        <v>0</v>
      </c>
      <c r="Q19" s="449">
        <f t="shared" si="16"/>
        <v>0</v>
      </c>
      <c r="R19" s="443">
        <v>0</v>
      </c>
      <c r="S19" s="449">
        <f t="shared" si="3"/>
        <v>0</v>
      </c>
      <c r="T19" s="449">
        <f t="shared" si="17"/>
        <v>0</v>
      </c>
      <c r="U19" s="449">
        <f t="shared" si="4"/>
        <v>0</v>
      </c>
      <c r="V19" s="449">
        <f t="shared" si="5"/>
        <v>0</v>
      </c>
      <c r="W19" s="758">
        <f t="shared" si="18"/>
        <v>0</v>
      </c>
      <c r="X19" s="757">
        <f>'4b-ADIT Projection Proration'!K19</f>
        <v>0</v>
      </c>
      <c r="Y19" s="449">
        <f t="shared" si="6"/>
        <v>0</v>
      </c>
      <c r="Z19" s="449">
        <f t="shared" si="19"/>
        <v>0</v>
      </c>
      <c r="AA19" s="443">
        <v>0</v>
      </c>
      <c r="AB19" s="449">
        <f t="shared" si="7"/>
        <v>0</v>
      </c>
      <c r="AC19" s="449">
        <f t="shared" si="20"/>
        <v>0</v>
      </c>
      <c r="AD19" s="449">
        <f t="shared" si="8"/>
        <v>0</v>
      </c>
      <c r="AE19" s="449">
        <f t="shared" si="9"/>
        <v>0</v>
      </c>
      <c r="AF19" s="758">
        <f t="shared" si="21"/>
        <v>0</v>
      </c>
    </row>
    <row r="20" spans="1:33">
      <c r="A20" s="671">
        <f t="shared" si="0"/>
        <v>12</v>
      </c>
      <c r="B20" s="670" t="s">
        <v>1017</v>
      </c>
      <c r="C20" s="664" t="s">
        <v>99</v>
      </c>
      <c r="D20" s="785">
        <v>2024</v>
      </c>
      <c r="E20" s="756">
        <f>32/365</f>
        <v>8.7671232876712329E-2</v>
      </c>
      <c r="F20" s="757">
        <f>'4b-ADIT Projection Proration'!G20</f>
        <v>-14027.042121017914</v>
      </c>
      <c r="G20" s="449">
        <f t="shared" si="10"/>
        <v>-1229.7680763632143</v>
      </c>
      <c r="H20" s="449">
        <f t="shared" si="11"/>
        <v>-1796168.0146058837</v>
      </c>
      <c r="I20" s="443">
        <v>0</v>
      </c>
      <c r="J20" s="449">
        <f t="shared" si="1"/>
        <v>14027.042121017914</v>
      </c>
      <c r="K20" s="449">
        <f t="shared" si="12"/>
        <v>14027.042121017914</v>
      </c>
      <c r="L20" s="449">
        <f t="shared" si="13"/>
        <v>0</v>
      </c>
      <c r="M20" s="449">
        <f t="shared" si="14"/>
        <v>0</v>
      </c>
      <c r="N20" s="758">
        <f t="shared" si="15"/>
        <v>76360.911491678329</v>
      </c>
      <c r="O20" s="757">
        <f>'4b-ADIT Projection Proration'!I20</f>
        <v>0</v>
      </c>
      <c r="P20" s="449">
        <f t="shared" si="2"/>
        <v>0</v>
      </c>
      <c r="Q20" s="449">
        <f t="shared" si="16"/>
        <v>0</v>
      </c>
      <c r="R20" s="443">
        <v>0</v>
      </c>
      <c r="S20" s="449">
        <f t="shared" si="3"/>
        <v>0</v>
      </c>
      <c r="T20" s="449">
        <f t="shared" si="17"/>
        <v>0</v>
      </c>
      <c r="U20" s="449">
        <f t="shared" si="4"/>
        <v>0</v>
      </c>
      <c r="V20" s="449">
        <f t="shared" si="5"/>
        <v>0</v>
      </c>
      <c r="W20" s="758">
        <f t="shared" si="18"/>
        <v>0</v>
      </c>
      <c r="X20" s="757">
        <f>'4b-ADIT Projection Proration'!K20</f>
        <v>0</v>
      </c>
      <c r="Y20" s="449">
        <f t="shared" si="6"/>
        <v>0</v>
      </c>
      <c r="Z20" s="449">
        <f t="shared" si="19"/>
        <v>0</v>
      </c>
      <c r="AA20" s="443">
        <v>0</v>
      </c>
      <c r="AB20" s="449">
        <f t="shared" si="7"/>
        <v>0</v>
      </c>
      <c r="AC20" s="449">
        <f t="shared" si="20"/>
        <v>0</v>
      </c>
      <c r="AD20" s="449">
        <f t="shared" si="8"/>
        <v>0</v>
      </c>
      <c r="AE20" s="449">
        <f t="shared" si="9"/>
        <v>0</v>
      </c>
      <c r="AF20" s="758">
        <f t="shared" si="21"/>
        <v>0</v>
      </c>
    </row>
    <row r="21" spans="1:33">
      <c r="A21" s="671">
        <f t="shared" si="0"/>
        <v>13</v>
      </c>
      <c r="B21" s="670" t="s">
        <v>1017</v>
      </c>
      <c r="C21" s="664" t="s">
        <v>98</v>
      </c>
      <c r="D21" s="785">
        <v>2024</v>
      </c>
      <c r="E21" s="756">
        <f>1/365</f>
        <v>2.7397260273972603E-3</v>
      </c>
      <c r="F21" s="759">
        <f>'4b-ADIT Projection Proration'!G21</f>
        <v>-14027.042121017914</v>
      </c>
      <c r="G21" s="760">
        <f t="shared" si="10"/>
        <v>-38.430252386350446</v>
      </c>
      <c r="H21" s="760">
        <f t="shared" si="11"/>
        <v>-1796206.44485827</v>
      </c>
      <c r="I21" s="445">
        <v>0</v>
      </c>
      <c r="J21" s="760">
        <f t="shared" si="1"/>
        <v>14027.042121017914</v>
      </c>
      <c r="K21" s="760">
        <f t="shared" si="12"/>
        <v>14027.042121017914</v>
      </c>
      <c r="L21" s="760">
        <f t="shared" si="13"/>
        <v>0</v>
      </c>
      <c r="M21" s="760">
        <f t="shared" si="14"/>
        <v>0</v>
      </c>
      <c r="N21" s="761">
        <f t="shared" si="15"/>
        <v>90349.523360309904</v>
      </c>
      <c r="O21" s="759">
        <f>'4b-ADIT Projection Proration'!I21</f>
        <v>0</v>
      </c>
      <c r="P21" s="760">
        <f t="shared" si="2"/>
        <v>0</v>
      </c>
      <c r="Q21" s="760">
        <f t="shared" si="16"/>
        <v>0</v>
      </c>
      <c r="R21" s="445">
        <v>0</v>
      </c>
      <c r="S21" s="760">
        <f t="shared" si="3"/>
        <v>0</v>
      </c>
      <c r="T21" s="760">
        <f t="shared" si="17"/>
        <v>0</v>
      </c>
      <c r="U21" s="760">
        <f t="shared" si="4"/>
        <v>0</v>
      </c>
      <c r="V21" s="760">
        <f t="shared" si="5"/>
        <v>0</v>
      </c>
      <c r="W21" s="761">
        <f t="shared" si="18"/>
        <v>0</v>
      </c>
      <c r="X21" s="759">
        <f>'4b-ADIT Projection Proration'!K21</f>
        <v>0</v>
      </c>
      <c r="Y21" s="760">
        <f t="shared" si="6"/>
        <v>0</v>
      </c>
      <c r="Z21" s="760">
        <f t="shared" si="19"/>
        <v>0</v>
      </c>
      <c r="AA21" s="445">
        <v>0</v>
      </c>
      <c r="AB21" s="760">
        <f t="shared" si="7"/>
        <v>0</v>
      </c>
      <c r="AC21" s="760">
        <f t="shared" si="20"/>
        <v>0</v>
      </c>
      <c r="AD21" s="760">
        <f t="shared" si="8"/>
        <v>0</v>
      </c>
      <c r="AE21" s="760">
        <f t="shared" si="9"/>
        <v>0</v>
      </c>
      <c r="AF21" s="761">
        <f t="shared" si="21"/>
        <v>0</v>
      </c>
    </row>
    <row r="22" spans="1:33">
      <c r="A22" s="671">
        <f t="shared" si="0"/>
        <v>14</v>
      </c>
      <c r="B22" s="670" t="s">
        <v>1018</v>
      </c>
      <c r="D22" s="618"/>
      <c r="F22" s="757">
        <f t="shared" ref="F22:M22" si="22">SUM(F9:F21)</f>
        <v>-168324.50545221497</v>
      </c>
      <c r="G22" s="449">
        <f t="shared" si="22"/>
        <v>-77974.982091905054</v>
      </c>
      <c r="H22" s="449"/>
      <c r="I22" s="449">
        <f t="shared" si="22"/>
        <v>0</v>
      </c>
      <c r="J22" s="449">
        <f t="shared" si="22"/>
        <v>168324.50545221497</v>
      </c>
      <c r="K22" s="449">
        <f t="shared" si="22"/>
        <v>168324.50545221497</v>
      </c>
      <c r="L22" s="449">
        <f t="shared" si="22"/>
        <v>0</v>
      </c>
      <c r="M22" s="449">
        <f t="shared" si="22"/>
        <v>0</v>
      </c>
      <c r="N22" s="758"/>
      <c r="O22" s="757">
        <f t="shared" ref="O22:P22" si="23">SUM(O9:O21)</f>
        <v>0</v>
      </c>
      <c r="P22" s="449">
        <f t="shared" si="23"/>
        <v>0</v>
      </c>
      <c r="Q22" s="449"/>
      <c r="R22" s="449">
        <f t="shared" ref="R22:V22" si="24">SUM(R9:R21)</f>
        <v>0</v>
      </c>
      <c r="S22" s="449">
        <f t="shared" si="24"/>
        <v>0</v>
      </c>
      <c r="T22" s="449">
        <f t="shared" si="24"/>
        <v>0</v>
      </c>
      <c r="U22" s="449">
        <f t="shared" si="24"/>
        <v>0</v>
      </c>
      <c r="V22" s="449">
        <f t="shared" si="24"/>
        <v>0</v>
      </c>
      <c r="W22" s="758"/>
      <c r="X22" s="757">
        <f t="shared" ref="X22:Y22" si="25">SUM(X9:X21)</f>
        <v>0</v>
      </c>
      <c r="Y22" s="449">
        <f t="shared" si="25"/>
        <v>0</v>
      </c>
      <c r="Z22" s="449"/>
      <c r="AA22" s="449">
        <f t="shared" ref="AA22:AE22" si="26">SUM(AA9:AA21)</f>
        <v>0</v>
      </c>
      <c r="AB22" s="449">
        <f t="shared" si="26"/>
        <v>0</v>
      </c>
      <c r="AC22" s="449">
        <f t="shared" si="26"/>
        <v>0</v>
      </c>
      <c r="AD22" s="449">
        <f t="shared" si="26"/>
        <v>0</v>
      </c>
      <c r="AE22" s="449">
        <f t="shared" si="26"/>
        <v>0</v>
      </c>
      <c r="AF22" s="758"/>
    </row>
    <row r="23" spans="1:33">
      <c r="A23" s="671"/>
      <c r="F23" s="757"/>
      <c r="G23" s="449"/>
      <c r="H23" s="449"/>
      <c r="I23" s="449"/>
      <c r="J23" s="449"/>
      <c r="K23" s="449"/>
      <c r="L23" s="449"/>
      <c r="M23" s="449"/>
      <c r="N23" s="758"/>
      <c r="O23" s="757"/>
      <c r="P23" s="449"/>
      <c r="Q23" s="449"/>
      <c r="R23" s="449"/>
      <c r="S23" s="449"/>
      <c r="T23" s="449"/>
      <c r="U23" s="449"/>
      <c r="V23" s="449"/>
      <c r="W23" s="758"/>
      <c r="X23" s="757"/>
      <c r="Y23" s="449"/>
      <c r="Z23" s="449"/>
      <c r="AA23" s="449"/>
      <c r="AB23" s="449"/>
      <c r="AC23" s="449"/>
      <c r="AD23" s="449"/>
      <c r="AE23" s="449"/>
      <c r="AF23" s="758"/>
    </row>
    <row r="24" spans="1:33">
      <c r="A24" s="664" t="s">
        <v>1091</v>
      </c>
      <c r="D24" s="666"/>
      <c r="E24" s="666"/>
      <c r="F24" s="757"/>
      <c r="G24" s="449"/>
      <c r="H24" s="449"/>
      <c r="I24" s="449"/>
      <c r="J24" s="449"/>
      <c r="K24" s="449"/>
      <c r="L24" s="449"/>
      <c r="M24" s="449"/>
      <c r="N24" s="758"/>
      <c r="O24" s="757"/>
      <c r="P24" s="449"/>
      <c r="Q24" s="449"/>
      <c r="R24" s="449"/>
      <c r="S24" s="449"/>
      <c r="T24" s="449"/>
      <c r="U24" s="449"/>
      <c r="V24" s="449"/>
      <c r="W24" s="758"/>
      <c r="X24" s="757"/>
      <c r="Y24" s="449"/>
      <c r="Z24" s="449"/>
      <c r="AA24" s="449"/>
      <c r="AB24" s="449"/>
      <c r="AC24" s="449"/>
      <c r="AD24" s="449"/>
      <c r="AE24" s="449"/>
      <c r="AF24" s="758"/>
      <c r="AG24" s="666"/>
    </row>
    <row r="25" spans="1:33">
      <c r="A25" s="671">
        <f>A22+1</f>
        <v>15</v>
      </c>
      <c r="B25" s="670" t="s">
        <v>1020</v>
      </c>
      <c r="C25" s="664" t="s">
        <v>98</v>
      </c>
      <c r="D25" s="785">
        <f>D9</f>
        <v>2023</v>
      </c>
      <c r="E25" s="756">
        <f>365/365</f>
        <v>1</v>
      </c>
      <c r="F25" s="757"/>
      <c r="G25" s="449"/>
      <c r="H25" s="449">
        <f>'4c- ADIT BOY'!E74</f>
        <v>-159638.84738990734</v>
      </c>
      <c r="I25" s="449"/>
      <c r="J25" s="449"/>
      <c r="K25" s="449"/>
      <c r="L25" s="449"/>
      <c r="M25" s="449"/>
      <c r="N25" s="758"/>
      <c r="O25" s="757"/>
      <c r="P25" s="449"/>
      <c r="Q25" s="449">
        <f>'4c- ADIT BOY'!F74</f>
        <v>0</v>
      </c>
      <c r="R25" s="449"/>
      <c r="S25" s="449"/>
      <c r="T25" s="449"/>
      <c r="U25" s="449"/>
      <c r="V25" s="449"/>
      <c r="W25" s="758"/>
      <c r="X25" s="757"/>
      <c r="Y25" s="449"/>
      <c r="Z25" s="449">
        <f>'4c- ADIT BOY'!G74</f>
        <v>0</v>
      </c>
      <c r="AA25" s="449"/>
      <c r="AB25" s="449"/>
      <c r="AC25" s="449"/>
      <c r="AD25" s="449"/>
      <c r="AE25" s="449"/>
      <c r="AF25" s="758"/>
    </row>
    <row r="26" spans="1:33">
      <c r="A26" s="671">
        <f t="shared" ref="A26:A38" si="27">+A25+1</f>
        <v>16</v>
      </c>
      <c r="B26" s="670" t="s">
        <v>1017</v>
      </c>
      <c r="C26" s="664" t="s">
        <v>105</v>
      </c>
      <c r="D26" s="785">
        <f t="shared" ref="D26:D37" si="28">D10</f>
        <v>2024</v>
      </c>
      <c r="E26" s="756">
        <f>335/365</f>
        <v>0.9178082191780822</v>
      </c>
      <c r="F26" s="757">
        <f>'4b-ADIT Projection Proration'!G26</f>
        <v>0</v>
      </c>
      <c r="G26" s="449">
        <f t="shared" ref="G26:G37" si="29">$E26*F26</f>
        <v>0</v>
      </c>
      <c r="H26" s="449">
        <f t="shared" ref="H26:H37" si="30">+G26+H25</f>
        <v>-159638.84738990734</v>
      </c>
      <c r="I26" s="443">
        <v>0</v>
      </c>
      <c r="J26" s="449">
        <f t="shared" ref="J26:J37" si="31">I26-F26</f>
        <v>0</v>
      </c>
      <c r="K26" s="449">
        <f t="shared" ref="K26:K37" si="32">IF(J26&gt;=0,+J26,0)</f>
        <v>0</v>
      </c>
      <c r="L26" s="449">
        <f t="shared" ref="L26:L37" si="33">IF(K26&gt;0,0,IF(I26&lt;0,0,(-(J26)*($E26))))</f>
        <v>0</v>
      </c>
      <c r="M26" s="449">
        <f t="shared" ref="M26:M37" si="34">IF(K26&gt;0,0,IF(I26&gt;0,0,(-(J26)*($E26))))</f>
        <v>0</v>
      </c>
      <c r="N26" s="758">
        <f t="shared" ref="N26:N37" si="35">IF(I26&lt;0,N25+M26,N25+$G26+K26-L26)</f>
        <v>0</v>
      </c>
      <c r="O26" s="757">
        <f>'4b-ADIT Projection Proration'!I26</f>
        <v>0</v>
      </c>
      <c r="P26" s="449">
        <f t="shared" ref="P26:P37" si="36">$E26*O26</f>
        <v>0</v>
      </c>
      <c r="Q26" s="449">
        <f t="shared" ref="Q26:Q37" si="37">+P26+Q25</f>
        <v>0</v>
      </c>
      <c r="R26" s="443">
        <v>0</v>
      </c>
      <c r="S26" s="449">
        <f t="shared" ref="S26:S37" si="38">R26-O26</f>
        <v>0</v>
      </c>
      <c r="T26" s="449">
        <f t="shared" ref="T26:T37" si="39">IF(S26&gt;=0,+S26,0)</f>
        <v>0</v>
      </c>
      <c r="U26" s="449">
        <f t="shared" ref="U26:U37" si="40">IF(T26&gt;0,0,IF(R26&lt;0,0,(-(S26)*($E26))))</f>
        <v>0</v>
      </c>
      <c r="V26" s="449">
        <f t="shared" ref="V26:V37" si="41">IF(T26&gt;0,0,IF(R26&gt;0,0,(-(S26)*($E26))))</f>
        <v>0</v>
      </c>
      <c r="W26" s="758">
        <f t="shared" ref="W26:W37" si="42">IF(R26&lt;0,W25+V26,W25+P26+T26-U26)</f>
        <v>0</v>
      </c>
      <c r="X26" s="757">
        <f>'4b-ADIT Projection Proration'!K26</f>
        <v>0</v>
      </c>
      <c r="Y26" s="449">
        <f t="shared" ref="Y26:Y37" si="43">$E26*X26</f>
        <v>0</v>
      </c>
      <c r="Z26" s="449">
        <f t="shared" ref="Z26:Z37" si="44">+Y26+Z25</f>
        <v>0</v>
      </c>
      <c r="AA26" s="443">
        <v>0</v>
      </c>
      <c r="AB26" s="449">
        <f t="shared" ref="AB26:AB37" si="45">AA26-X26</f>
        <v>0</v>
      </c>
      <c r="AC26" s="449">
        <f t="shared" ref="AC26:AC37" si="46">IF(AB26&gt;=0,+AB26,0)</f>
        <v>0</v>
      </c>
      <c r="AD26" s="449">
        <f t="shared" ref="AD26:AD37" si="47">IF(AC26&gt;0,0,IF(AA26&lt;0,0,(-(AB26)*($E26))))</f>
        <v>0</v>
      </c>
      <c r="AE26" s="449">
        <f t="shared" ref="AE26:AE37" si="48">IF(AC26&gt;0,0,IF(AA26&gt;0,0,(-(AB26)*($E26))))</f>
        <v>0</v>
      </c>
      <c r="AF26" s="758">
        <f t="shared" ref="AF26:AF37" si="49">IF(AA26&lt;0,AF25+AE26,AF25+Y26+AC26-AD26)</f>
        <v>0</v>
      </c>
    </row>
    <row r="27" spans="1:33">
      <c r="A27" s="671">
        <f t="shared" si="27"/>
        <v>17</v>
      </c>
      <c r="B27" s="670" t="s">
        <v>1017</v>
      </c>
      <c r="C27" s="664" t="s">
        <v>104</v>
      </c>
      <c r="D27" s="785">
        <f t="shared" si="28"/>
        <v>2024</v>
      </c>
      <c r="E27" s="756">
        <f>307/365</f>
        <v>0.84109589041095889</v>
      </c>
      <c r="F27" s="757">
        <f>'4b-ADIT Projection Proration'!G27</f>
        <v>0</v>
      </c>
      <c r="G27" s="449">
        <f t="shared" si="29"/>
        <v>0</v>
      </c>
      <c r="H27" s="449">
        <f t="shared" si="30"/>
        <v>-159638.84738990734</v>
      </c>
      <c r="I27" s="443">
        <v>0</v>
      </c>
      <c r="J27" s="449">
        <f t="shared" si="31"/>
        <v>0</v>
      </c>
      <c r="K27" s="449">
        <f t="shared" si="32"/>
        <v>0</v>
      </c>
      <c r="L27" s="449">
        <f t="shared" si="33"/>
        <v>0</v>
      </c>
      <c r="M27" s="449">
        <f t="shared" si="34"/>
        <v>0</v>
      </c>
      <c r="N27" s="758">
        <f t="shared" si="35"/>
        <v>0</v>
      </c>
      <c r="O27" s="757">
        <f>'4b-ADIT Projection Proration'!I27</f>
        <v>0</v>
      </c>
      <c r="P27" s="449">
        <f t="shared" si="36"/>
        <v>0</v>
      </c>
      <c r="Q27" s="449">
        <f t="shared" si="37"/>
        <v>0</v>
      </c>
      <c r="R27" s="443">
        <v>0</v>
      </c>
      <c r="S27" s="449">
        <f t="shared" si="38"/>
        <v>0</v>
      </c>
      <c r="T27" s="449">
        <f t="shared" si="39"/>
        <v>0</v>
      </c>
      <c r="U27" s="449">
        <f t="shared" si="40"/>
        <v>0</v>
      </c>
      <c r="V27" s="449">
        <f t="shared" si="41"/>
        <v>0</v>
      </c>
      <c r="W27" s="758">
        <f t="shared" si="42"/>
        <v>0</v>
      </c>
      <c r="X27" s="757">
        <f>'4b-ADIT Projection Proration'!K27</f>
        <v>0</v>
      </c>
      <c r="Y27" s="449">
        <f t="shared" si="43"/>
        <v>0</v>
      </c>
      <c r="Z27" s="449">
        <f t="shared" si="44"/>
        <v>0</v>
      </c>
      <c r="AA27" s="443">
        <v>0</v>
      </c>
      <c r="AB27" s="449">
        <f t="shared" si="45"/>
        <v>0</v>
      </c>
      <c r="AC27" s="449">
        <f t="shared" si="46"/>
        <v>0</v>
      </c>
      <c r="AD27" s="449">
        <f t="shared" si="47"/>
        <v>0</v>
      </c>
      <c r="AE27" s="449">
        <f t="shared" si="48"/>
        <v>0</v>
      </c>
      <c r="AF27" s="758">
        <f t="shared" si="49"/>
        <v>0</v>
      </c>
    </row>
    <row r="28" spans="1:33">
      <c r="A28" s="671">
        <f t="shared" si="27"/>
        <v>18</v>
      </c>
      <c r="B28" s="670" t="s">
        <v>1017</v>
      </c>
      <c r="C28" s="664" t="s">
        <v>103</v>
      </c>
      <c r="D28" s="785">
        <f t="shared" si="28"/>
        <v>2024</v>
      </c>
      <c r="E28" s="756">
        <f>276/365</f>
        <v>0.75616438356164384</v>
      </c>
      <c r="F28" s="757">
        <f>'4b-ADIT Projection Proration'!G28</f>
        <v>0</v>
      </c>
      <c r="G28" s="449">
        <f t="shared" si="29"/>
        <v>0</v>
      </c>
      <c r="H28" s="449">
        <f t="shared" si="30"/>
        <v>-159638.84738990734</v>
      </c>
      <c r="I28" s="443">
        <v>0</v>
      </c>
      <c r="J28" s="449">
        <f t="shared" si="31"/>
        <v>0</v>
      </c>
      <c r="K28" s="449">
        <f t="shared" si="32"/>
        <v>0</v>
      </c>
      <c r="L28" s="449">
        <f t="shared" si="33"/>
        <v>0</v>
      </c>
      <c r="M28" s="449">
        <f t="shared" si="34"/>
        <v>0</v>
      </c>
      <c r="N28" s="758">
        <f t="shared" si="35"/>
        <v>0</v>
      </c>
      <c r="O28" s="757">
        <f>'4b-ADIT Projection Proration'!I28</f>
        <v>0</v>
      </c>
      <c r="P28" s="449">
        <f t="shared" si="36"/>
        <v>0</v>
      </c>
      <c r="Q28" s="449">
        <f t="shared" si="37"/>
        <v>0</v>
      </c>
      <c r="R28" s="443">
        <v>0</v>
      </c>
      <c r="S28" s="449">
        <f t="shared" si="38"/>
        <v>0</v>
      </c>
      <c r="T28" s="449">
        <f t="shared" si="39"/>
        <v>0</v>
      </c>
      <c r="U28" s="449">
        <f t="shared" si="40"/>
        <v>0</v>
      </c>
      <c r="V28" s="449">
        <f t="shared" si="41"/>
        <v>0</v>
      </c>
      <c r="W28" s="758">
        <f t="shared" si="42"/>
        <v>0</v>
      </c>
      <c r="X28" s="757">
        <f>'4b-ADIT Projection Proration'!K28</f>
        <v>0</v>
      </c>
      <c r="Y28" s="449">
        <f t="shared" si="43"/>
        <v>0</v>
      </c>
      <c r="Z28" s="449">
        <f t="shared" si="44"/>
        <v>0</v>
      </c>
      <c r="AA28" s="443">
        <v>0</v>
      </c>
      <c r="AB28" s="449">
        <f t="shared" si="45"/>
        <v>0</v>
      </c>
      <c r="AC28" s="449">
        <f t="shared" si="46"/>
        <v>0</v>
      </c>
      <c r="AD28" s="449">
        <f t="shared" si="47"/>
        <v>0</v>
      </c>
      <c r="AE28" s="449">
        <f t="shared" si="48"/>
        <v>0</v>
      </c>
      <c r="AF28" s="758">
        <f t="shared" si="49"/>
        <v>0</v>
      </c>
    </row>
    <row r="29" spans="1:33">
      <c r="A29" s="671">
        <f t="shared" si="27"/>
        <v>19</v>
      </c>
      <c r="B29" s="670" t="s">
        <v>1017</v>
      </c>
      <c r="C29" s="664" t="s">
        <v>95</v>
      </c>
      <c r="D29" s="785">
        <f t="shared" si="28"/>
        <v>2024</v>
      </c>
      <c r="E29" s="756">
        <f>246/365</f>
        <v>0.67397260273972603</v>
      </c>
      <c r="F29" s="757">
        <f>'4b-ADIT Projection Proration'!G29</f>
        <v>0</v>
      </c>
      <c r="G29" s="449">
        <f t="shared" si="29"/>
        <v>0</v>
      </c>
      <c r="H29" s="449">
        <f t="shared" si="30"/>
        <v>-159638.84738990734</v>
      </c>
      <c r="I29" s="443">
        <v>0</v>
      </c>
      <c r="J29" s="449">
        <f t="shared" si="31"/>
        <v>0</v>
      </c>
      <c r="K29" s="449">
        <f t="shared" si="32"/>
        <v>0</v>
      </c>
      <c r="L29" s="449">
        <f t="shared" si="33"/>
        <v>0</v>
      </c>
      <c r="M29" s="449">
        <f t="shared" si="34"/>
        <v>0</v>
      </c>
      <c r="N29" s="758">
        <f t="shared" si="35"/>
        <v>0</v>
      </c>
      <c r="O29" s="757">
        <f>'4b-ADIT Projection Proration'!I29</f>
        <v>0</v>
      </c>
      <c r="P29" s="449">
        <f t="shared" si="36"/>
        <v>0</v>
      </c>
      <c r="Q29" s="449">
        <f t="shared" si="37"/>
        <v>0</v>
      </c>
      <c r="R29" s="443">
        <v>0</v>
      </c>
      <c r="S29" s="449">
        <f t="shared" si="38"/>
        <v>0</v>
      </c>
      <c r="T29" s="449">
        <f t="shared" si="39"/>
        <v>0</v>
      </c>
      <c r="U29" s="449">
        <f t="shared" si="40"/>
        <v>0</v>
      </c>
      <c r="V29" s="449">
        <f t="shared" si="41"/>
        <v>0</v>
      </c>
      <c r="W29" s="758">
        <f t="shared" si="42"/>
        <v>0</v>
      </c>
      <c r="X29" s="757">
        <f>'4b-ADIT Projection Proration'!K29</f>
        <v>0</v>
      </c>
      <c r="Y29" s="449">
        <f t="shared" si="43"/>
        <v>0</v>
      </c>
      <c r="Z29" s="449">
        <f t="shared" si="44"/>
        <v>0</v>
      </c>
      <c r="AA29" s="443">
        <v>0</v>
      </c>
      <c r="AB29" s="449">
        <f t="shared" si="45"/>
        <v>0</v>
      </c>
      <c r="AC29" s="449">
        <f t="shared" si="46"/>
        <v>0</v>
      </c>
      <c r="AD29" s="449">
        <f t="shared" si="47"/>
        <v>0</v>
      </c>
      <c r="AE29" s="449">
        <f t="shared" si="48"/>
        <v>0</v>
      </c>
      <c r="AF29" s="758">
        <f t="shared" si="49"/>
        <v>0</v>
      </c>
    </row>
    <row r="30" spans="1:33">
      <c r="A30" s="671">
        <f t="shared" si="27"/>
        <v>20</v>
      </c>
      <c r="B30" s="670" t="s">
        <v>1017</v>
      </c>
      <c r="C30" s="664" t="s">
        <v>92</v>
      </c>
      <c r="D30" s="785">
        <f t="shared" si="28"/>
        <v>2024</v>
      </c>
      <c r="E30" s="756">
        <f>215/365</f>
        <v>0.58904109589041098</v>
      </c>
      <c r="F30" s="757">
        <f>'4b-ADIT Projection Proration'!G30</f>
        <v>0</v>
      </c>
      <c r="G30" s="449">
        <f t="shared" si="29"/>
        <v>0</v>
      </c>
      <c r="H30" s="449">
        <f t="shared" si="30"/>
        <v>-159638.84738990734</v>
      </c>
      <c r="I30" s="443">
        <v>0</v>
      </c>
      <c r="J30" s="449">
        <f t="shared" si="31"/>
        <v>0</v>
      </c>
      <c r="K30" s="449">
        <f t="shared" si="32"/>
        <v>0</v>
      </c>
      <c r="L30" s="449">
        <f t="shared" si="33"/>
        <v>0</v>
      </c>
      <c r="M30" s="449">
        <f t="shared" si="34"/>
        <v>0</v>
      </c>
      <c r="N30" s="758">
        <f t="shared" si="35"/>
        <v>0</v>
      </c>
      <c r="O30" s="757">
        <f>'4b-ADIT Projection Proration'!I30</f>
        <v>0</v>
      </c>
      <c r="P30" s="449">
        <f t="shared" si="36"/>
        <v>0</v>
      </c>
      <c r="Q30" s="449">
        <f t="shared" si="37"/>
        <v>0</v>
      </c>
      <c r="R30" s="443">
        <v>0</v>
      </c>
      <c r="S30" s="449">
        <f t="shared" si="38"/>
        <v>0</v>
      </c>
      <c r="T30" s="449">
        <f t="shared" si="39"/>
        <v>0</v>
      </c>
      <c r="U30" s="449">
        <f t="shared" si="40"/>
        <v>0</v>
      </c>
      <c r="V30" s="449">
        <f t="shared" si="41"/>
        <v>0</v>
      </c>
      <c r="W30" s="758">
        <f t="shared" si="42"/>
        <v>0</v>
      </c>
      <c r="X30" s="757">
        <f>'4b-ADIT Projection Proration'!K30</f>
        <v>0</v>
      </c>
      <c r="Y30" s="449">
        <f t="shared" si="43"/>
        <v>0</v>
      </c>
      <c r="Z30" s="449">
        <f t="shared" si="44"/>
        <v>0</v>
      </c>
      <c r="AA30" s="443">
        <v>0</v>
      </c>
      <c r="AB30" s="449">
        <f t="shared" si="45"/>
        <v>0</v>
      </c>
      <c r="AC30" s="449">
        <f t="shared" si="46"/>
        <v>0</v>
      </c>
      <c r="AD30" s="449">
        <f t="shared" si="47"/>
        <v>0</v>
      </c>
      <c r="AE30" s="449">
        <f t="shared" si="48"/>
        <v>0</v>
      </c>
      <c r="AF30" s="758">
        <f t="shared" si="49"/>
        <v>0</v>
      </c>
    </row>
    <row r="31" spans="1:33">
      <c r="A31" s="671">
        <f t="shared" si="27"/>
        <v>21</v>
      </c>
      <c r="B31" s="670" t="s">
        <v>1017</v>
      </c>
      <c r="C31" s="664" t="s">
        <v>145</v>
      </c>
      <c r="D31" s="785">
        <f t="shared" si="28"/>
        <v>2024</v>
      </c>
      <c r="E31" s="756">
        <f>185/365</f>
        <v>0.50684931506849318</v>
      </c>
      <c r="F31" s="757">
        <f>'4b-ADIT Projection Proration'!G31</f>
        <v>0</v>
      </c>
      <c r="G31" s="449">
        <f t="shared" si="29"/>
        <v>0</v>
      </c>
      <c r="H31" s="449">
        <f t="shared" si="30"/>
        <v>-159638.84738990734</v>
      </c>
      <c r="I31" s="443">
        <v>0</v>
      </c>
      <c r="J31" s="449">
        <f t="shared" si="31"/>
        <v>0</v>
      </c>
      <c r="K31" s="449">
        <f t="shared" si="32"/>
        <v>0</v>
      </c>
      <c r="L31" s="449">
        <f t="shared" si="33"/>
        <v>0</v>
      </c>
      <c r="M31" s="449">
        <f t="shared" si="34"/>
        <v>0</v>
      </c>
      <c r="N31" s="758">
        <f t="shared" si="35"/>
        <v>0</v>
      </c>
      <c r="O31" s="757">
        <f>'4b-ADIT Projection Proration'!I31</f>
        <v>0</v>
      </c>
      <c r="P31" s="449">
        <f t="shared" si="36"/>
        <v>0</v>
      </c>
      <c r="Q31" s="449">
        <f t="shared" si="37"/>
        <v>0</v>
      </c>
      <c r="R31" s="443">
        <v>0</v>
      </c>
      <c r="S31" s="449">
        <f t="shared" si="38"/>
        <v>0</v>
      </c>
      <c r="T31" s="449">
        <f t="shared" si="39"/>
        <v>0</v>
      </c>
      <c r="U31" s="449">
        <f t="shared" si="40"/>
        <v>0</v>
      </c>
      <c r="V31" s="449">
        <f t="shared" si="41"/>
        <v>0</v>
      </c>
      <c r="W31" s="758">
        <f t="shared" si="42"/>
        <v>0</v>
      </c>
      <c r="X31" s="757">
        <f>'4b-ADIT Projection Proration'!K31</f>
        <v>0</v>
      </c>
      <c r="Y31" s="449">
        <f t="shared" si="43"/>
        <v>0</v>
      </c>
      <c r="Z31" s="449">
        <f t="shared" si="44"/>
        <v>0</v>
      </c>
      <c r="AA31" s="443">
        <v>0</v>
      </c>
      <c r="AB31" s="449">
        <f t="shared" si="45"/>
        <v>0</v>
      </c>
      <c r="AC31" s="449">
        <f t="shared" si="46"/>
        <v>0</v>
      </c>
      <c r="AD31" s="449">
        <f t="shared" si="47"/>
        <v>0</v>
      </c>
      <c r="AE31" s="449">
        <f t="shared" si="48"/>
        <v>0</v>
      </c>
      <c r="AF31" s="758">
        <f t="shared" si="49"/>
        <v>0</v>
      </c>
    </row>
    <row r="32" spans="1:33">
      <c r="A32" s="671">
        <f t="shared" si="27"/>
        <v>22</v>
      </c>
      <c r="B32" s="670" t="s">
        <v>1017</v>
      </c>
      <c r="C32" s="664" t="s">
        <v>102</v>
      </c>
      <c r="D32" s="785">
        <f t="shared" si="28"/>
        <v>2024</v>
      </c>
      <c r="E32" s="756">
        <f>154/365</f>
        <v>0.42191780821917807</v>
      </c>
      <c r="F32" s="757">
        <f>'4b-ADIT Projection Proration'!G32</f>
        <v>0</v>
      </c>
      <c r="G32" s="449">
        <f t="shared" si="29"/>
        <v>0</v>
      </c>
      <c r="H32" s="449">
        <f t="shared" si="30"/>
        <v>-159638.84738990734</v>
      </c>
      <c r="I32" s="443">
        <v>0</v>
      </c>
      <c r="J32" s="449">
        <f t="shared" si="31"/>
        <v>0</v>
      </c>
      <c r="K32" s="449">
        <f t="shared" si="32"/>
        <v>0</v>
      </c>
      <c r="L32" s="449">
        <f t="shared" si="33"/>
        <v>0</v>
      </c>
      <c r="M32" s="449">
        <f t="shared" si="34"/>
        <v>0</v>
      </c>
      <c r="N32" s="758">
        <f t="shared" si="35"/>
        <v>0</v>
      </c>
      <c r="O32" s="757">
        <f>'4b-ADIT Projection Proration'!I32</f>
        <v>0</v>
      </c>
      <c r="P32" s="449">
        <f t="shared" si="36"/>
        <v>0</v>
      </c>
      <c r="Q32" s="449">
        <f t="shared" si="37"/>
        <v>0</v>
      </c>
      <c r="R32" s="443">
        <v>0</v>
      </c>
      <c r="S32" s="449">
        <f t="shared" si="38"/>
        <v>0</v>
      </c>
      <c r="T32" s="449">
        <f t="shared" si="39"/>
        <v>0</v>
      </c>
      <c r="U32" s="449">
        <f t="shared" si="40"/>
        <v>0</v>
      </c>
      <c r="V32" s="449">
        <f t="shared" si="41"/>
        <v>0</v>
      </c>
      <c r="W32" s="758">
        <f t="shared" si="42"/>
        <v>0</v>
      </c>
      <c r="X32" s="757">
        <f>'4b-ADIT Projection Proration'!K32</f>
        <v>0</v>
      </c>
      <c r="Y32" s="449">
        <f t="shared" si="43"/>
        <v>0</v>
      </c>
      <c r="Z32" s="449">
        <f t="shared" si="44"/>
        <v>0</v>
      </c>
      <c r="AA32" s="443">
        <v>0</v>
      </c>
      <c r="AB32" s="449">
        <f t="shared" si="45"/>
        <v>0</v>
      </c>
      <c r="AC32" s="449">
        <f t="shared" si="46"/>
        <v>0</v>
      </c>
      <c r="AD32" s="449">
        <f t="shared" si="47"/>
        <v>0</v>
      </c>
      <c r="AE32" s="449">
        <f t="shared" si="48"/>
        <v>0</v>
      </c>
      <c r="AF32" s="758">
        <f t="shared" si="49"/>
        <v>0</v>
      </c>
    </row>
    <row r="33" spans="1:33">
      <c r="A33" s="671">
        <f t="shared" si="27"/>
        <v>23</v>
      </c>
      <c r="B33" s="670" t="s">
        <v>1017</v>
      </c>
      <c r="C33" s="664" t="s">
        <v>101</v>
      </c>
      <c r="D33" s="785">
        <f t="shared" si="28"/>
        <v>2024</v>
      </c>
      <c r="E33" s="756">
        <f>123/365</f>
        <v>0.33698630136986302</v>
      </c>
      <c r="F33" s="757">
        <f>'4b-ADIT Projection Proration'!G33</f>
        <v>0</v>
      </c>
      <c r="G33" s="449">
        <f t="shared" si="29"/>
        <v>0</v>
      </c>
      <c r="H33" s="449">
        <f t="shared" si="30"/>
        <v>-159638.84738990734</v>
      </c>
      <c r="I33" s="443">
        <v>0</v>
      </c>
      <c r="J33" s="449">
        <f t="shared" si="31"/>
        <v>0</v>
      </c>
      <c r="K33" s="449">
        <f t="shared" si="32"/>
        <v>0</v>
      </c>
      <c r="L33" s="449">
        <f t="shared" si="33"/>
        <v>0</v>
      </c>
      <c r="M33" s="449">
        <f t="shared" si="34"/>
        <v>0</v>
      </c>
      <c r="N33" s="758">
        <f t="shared" si="35"/>
        <v>0</v>
      </c>
      <c r="O33" s="757">
        <f>'4b-ADIT Projection Proration'!I33</f>
        <v>0</v>
      </c>
      <c r="P33" s="449">
        <f t="shared" si="36"/>
        <v>0</v>
      </c>
      <c r="Q33" s="449">
        <f t="shared" si="37"/>
        <v>0</v>
      </c>
      <c r="R33" s="443">
        <v>0</v>
      </c>
      <c r="S33" s="449">
        <f t="shared" si="38"/>
        <v>0</v>
      </c>
      <c r="T33" s="449">
        <f t="shared" si="39"/>
        <v>0</v>
      </c>
      <c r="U33" s="449">
        <f t="shared" si="40"/>
        <v>0</v>
      </c>
      <c r="V33" s="449">
        <f t="shared" si="41"/>
        <v>0</v>
      </c>
      <c r="W33" s="758">
        <f t="shared" si="42"/>
        <v>0</v>
      </c>
      <c r="X33" s="757">
        <f>'4b-ADIT Projection Proration'!K33</f>
        <v>0</v>
      </c>
      <c r="Y33" s="449">
        <f t="shared" si="43"/>
        <v>0</v>
      </c>
      <c r="Z33" s="449">
        <f t="shared" si="44"/>
        <v>0</v>
      </c>
      <c r="AA33" s="443">
        <v>0</v>
      </c>
      <c r="AB33" s="449">
        <f t="shared" si="45"/>
        <v>0</v>
      </c>
      <c r="AC33" s="449">
        <f t="shared" si="46"/>
        <v>0</v>
      </c>
      <c r="AD33" s="449">
        <f t="shared" si="47"/>
        <v>0</v>
      </c>
      <c r="AE33" s="449">
        <f t="shared" si="48"/>
        <v>0</v>
      </c>
      <c r="AF33" s="758">
        <f t="shared" si="49"/>
        <v>0</v>
      </c>
    </row>
    <row r="34" spans="1:33">
      <c r="A34" s="671">
        <f t="shared" si="27"/>
        <v>24</v>
      </c>
      <c r="B34" s="670" t="s">
        <v>1017</v>
      </c>
      <c r="C34" s="664" t="s">
        <v>100</v>
      </c>
      <c r="D34" s="785">
        <f t="shared" si="28"/>
        <v>2024</v>
      </c>
      <c r="E34" s="756">
        <f>93/365</f>
        <v>0.25479452054794521</v>
      </c>
      <c r="F34" s="757">
        <f>'4b-ADIT Projection Proration'!G34</f>
        <v>0</v>
      </c>
      <c r="G34" s="449">
        <f t="shared" si="29"/>
        <v>0</v>
      </c>
      <c r="H34" s="449">
        <f t="shared" si="30"/>
        <v>-159638.84738990734</v>
      </c>
      <c r="I34" s="443">
        <v>0</v>
      </c>
      <c r="J34" s="449">
        <f t="shared" si="31"/>
        <v>0</v>
      </c>
      <c r="K34" s="449">
        <f t="shared" si="32"/>
        <v>0</v>
      </c>
      <c r="L34" s="449">
        <f t="shared" si="33"/>
        <v>0</v>
      </c>
      <c r="M34" s="449">
        <f t="shared" si="34"/>
        <v>0</v>
      </c>
      <c r="N34" s="758">
        <f t="shared" si="35"/>
        <v>0</v>
      </c>
      <c r="O34" s="757">
        <f>'4b-ADIT Projection Proration'!I34</f>
        <v>0</v>
      </c>
      <c r="P34" s="449">
        <f t="shared" si="36"/>
        <v>0</v>
      </c>
      <c r="Q34" s="449">
        <f t="shared" si="37"/>
        <v>0</v>
      </c>
      <c r="R34" s="443">
        <v>0</v>
      </c>
      <c r="S34" s="449">
        <f t="shared" si="38"/>
        <v>0</v>
      </c>
      <c r="T34" s="449">
        <f t="shared" si="39"/>
        <v>0</v>
      </c>
      <c r="U34" s="449">
        <f t="shared" si="40"/>
        <v>0</v>
      </c>
      <c r="V34" s="449">
        <f t="shared" si="41"/>
        <v>0</v>
      </c>
      <c r="W34" s="758">
        <f t="shared" si="42"/>
        <v>0</v>
      </c>
      <c r="X34" s="757">
        <f>'4b-ADIT Projection Proration'!K34</f>
        <v>0</v>
      </c>
      <c r="Y34" s="449">
        <f t="shared" si="43"/>
        <v>0</v>
      </c>
      <c r="Z34" s="449">
        <f t="shared" si="44"/>
        <v>0</v>
      </c>
      <c r="AA34" s="443">
        <v>0</v>
      </c>
      <c r="AB34" s="449">
        <f t="shared" si="45"/>
        <v>0</v>
      </c>
      <c r="AC34" s="449">
        <f t="shared" si="46"/>
        <v>0</v>
      </c>
      <c r="AD34" s="449">
        <f t="shared" si="47"/>
        <v>0</v>
      </c>
      <c r="AE34" s="449">
        <f t="shared" si="48"/>
        <v>0</v>
      </c>
      <c r="AF34" s="758">
        <f t="shared" si="49"/>
        <v>0</v>
      </c>
    </row>
    <row r="35" spans="1:33">
      <c r="A35" s="671">
        <f t="shared" si="27"/>
        <v>25</v>
      </c>
      <c r="B35" s="670" t="s">
        <v>1017</v>
      </c>
      <c r="C35" s="664" t="s">
        <v>106</v>
      </c>
      <c r="D35" s="785">
        <f t="shared" si="28"/>
        <v>2024</v>
      </c>
      <c r="E35" s="756">
        <f>62/365</f>
        <v>0.16986301369863013</v>
      </c>
      <c r="F35" s="757">
        <f>'4b-ADIT Projection Proration'!G35</f>
        <v>0</v>
      </c>
      <c r="G35" s="449">
        <f t="shared" si="29"/>
        <v>0</v>
      </c>
      <c r="H35" s="449">
        <f t="shared" si="30"/>
        <v>-159638.84738990734</v>
      </c>
      <c r="I35" s="443">
        <v>0</v>
      </c>
      <c r="J35" s="449">
        <f t="shared" si="31"/>
        <v>0</v>
      </c>
      <c r="K35" s="449">
        <f t="shared" si="32"/>
        <v>0</v>
      </c>
      <c r="L35" s="449">
        <f t="shared" si="33"/>
        <v>0</v>
      </c>
      <c r="M35" s="449">
        <f t="shared" si="34"/>
        <v>0</v>
      </c>
      <c r="N35" s="758">
        <f t="shared" si="35"/>
        <v>0</v>
      </c>
      <c r="O35" s="757">
        <f>'4b-ADIT Projection Proration'!I35</f>
        <v>0</v>
      </c>
      <c r="P35" s="449">
        <f t="shared" si="36"/>
        <v>0</v>
      </c>
      <c r="Q35" s="449">
        <f t="shared" si="37"/>
        <v>0</v>
      </c>
      <c r="R35" s="443">
        <v>0</v>
      </c>
      <c r="S35" s="449">
        <f t="shared" si="38"/>
        <v>0</v>
      </c>
      <c r="T35" s="449">
        <f t="shared" si="39"/>
        <v>0</v>
      </c>
      <c r="U35" s="449">
        <f t="shared" si="40"/>
        <v>0</v>
      </c>
      <c r="V35" s="449">
        <f t="shared" si="41"/>
        <v>0</v>
      </c>
      <c r="W35" s="758">
        <f t="shared" si="42"/>
        <v>0</v>
      </c>
      <c r="X35" s="757">
        <f>'4b-ADIT Projection Proration'!K35</f>
        <v>0</v>
      </c>
      <c r="Y35" s="449">
        <f t="shared" si="43"/>
        <v>0</v>
      </c>
      <c r="Z35" s="449">
        <f t="shared" si="44"/>
        <v>0</v>
      </c>
      <c r="AA35" s="443">
        <v>0</v>
      </c>
      <c r="AB35" s="449">
        <f t="shared" si="45"/>
        <v>0</v>
      </c>
      <c r="AC35" s="449">
        <f t="shared" si="46"/>
        <v>0</v>
      </c>
      <c r="AD35" s="449">
        <f t="shared" si="47"/>
        <v>0</v>
      </c>
      <c r="AE35" s="449">
        <f t="shared" si="48"/>
        <v>0</v>
      </c>
      <c r="AF35" s="758">
        <f t="shared" si="49"/>
        <v>0</v>
      </c>
    </row>
    <row r="36" spans="1:33">
      <c r="A36" s="671">
        <f t="shared" si="27"/>
        <v>26</v>
      </c>
      <c r="B36" s="670" t="s">
        <v>1017</v>
      </c>
      <c r="C36" s="664" t="s">
        <v>99</v>
      </c>
      <c r="D36" s="785">
        <f t="shared" si="28"/>
        <v>2024</v>
      </c>
      <c r="E36" s="756">
        <f>32/365</f>
        <v>8.7671232876712329E-2</v>
      </c>
      <c r="F36" s="757">
        <f>'4b-ADIT Projection Proration'!G36</f>
        <v>0</v>
      </c>
      <c r="G36" s="449">
        <f t="shared" si="29"/>
        <v>0</v>
      </c>
      <c r="H36" s="449">
        <f t="shared" si="30"/>
        <v>-159638.84738990734</v>
      </c>
      <c r="I36" s="443">
        <v>0</v>
      </c>
      <c r="J36" s="449">
        <f t="shared" si="31"/>
        <v>0</v>
      </c>
      <c r="K36" s="449">
        <f t="shared" si="32"/>
        <v>0</v>
      </c>
      <c r="L36" s="449">
        <f t="shared" si="33"/>
        <v>0</v>
      </c>
      <c r="M36" s="449">
        <f t="shared" si="34"/>
        <v>0</v>
      </c>
      <c r="N36" s="758">
        <f t="shared" si="35"/>
        <v>0</v>
      </c>
      <c r="O36" s="757">
        <f>'4b-ADIT Projection Proration'!I36</f>
        <v>0</v>
      </c>
      <c r="P36" s="449">
        <f t="shared" si="36"/>
        <v>0</v>
      </c>
      <c r="Q36" s="449">
        <f t="shared" si="37"/>
        <v>0</v>
      </c>
      <c r="R36" s="443">
        <v>0</v>
      </c>
      <c r="S36" s="449">
        <f t="shared" si="38"/>
        <v>0</v>
      </c>
      <c r="T36" s="449">
        <f t="shared" si="39"/>
        <v>0</v>
      </c>
      <c r="U36" s="449">
        <f t="shared" si="40"/>
        <v>0</v>
      </c>
      <c r="V36" s="449">
        <f t="shared" si="41"/>
        <v>0</v>
      </c>
      <c r="W36" s="758">
        <f t="shared" si="42"/>
        <v>0</v>
      </c>
      <c r="X36" s="757">
        <f>'4b-ADIT Projection Proration'!K36</f>
        <v>0</v>
      </c>
      <c r="Y36" s="449">
        <f t="shared" si="43"/>
        <v>0</v>
      </c>
      <c r="Z36" s="449">
        <f t="shared" si="44"/>
        <v>0</v>
      </c>
      <c r="AA36" s="443">
        <v>0</v>
      </c>
      <c r="AB36" s="449">
        <f t="shared" si="45"/>
        <v>0</v>
      </c>
      <c r="AC36" s="449">
        <f t="shared" si="46"/>
        <v>0</v>
      </c>
      <c r="AD36" s="449">
        <f t="shared" si="47"/>
        <v>0</v>
      </c>
      <c r="AE36" s="449">
        <f t="shared" si="48"/>
        <v>0</v>
      </c>
      <c r="AF36" s="758">
        <f t="shared" si="49"/>
        <v>0</v>
      </c>
    </row>
    <row r="37" spans="1:33">
      <c r="A37" s="671">
        <f t="shared" si="27"/>
        <v>27</v>
      </c>
      <c r="B37" s="670" t="s">
        <v>1017</v>
      </c>
      <c r="C37" s="664" t="s">
        <v>98</v>
      </c>
      <c r="D37" s="785">
        <f t="shared" si="28"/>
        <v>2024</v>
      </c>
      <c r="E37" s="756">
        <f>1/365</f>
        <v>2.7397260273972603E-3</v>
      </c>
      <c r="F37" s="759">
        <f>'4b-ADIT Projection Proration'!G37</f>
        <v>0</v>
      </c>
      <c r="G37" s="760">
        <f t="shared" si="29"/>
        <v>0</v>
      </c>
      <c r="H37" s="760">
        <f t="shared" si="30"/>
        <v>-159638.84738990734</v>
      </c>
      <c r="I37" s="445">
        <v>0</v>
      </c>
      <c r="J37" s="760">
        <f t="shared" si="31"/>
        <v>0</v>
      </c>
      <c r="K37" s="760">
        <f t="shared" si="32"/>
        <v>0</v>
      </c>
      <c r="L37" s="760">
        <f t="shared" si="33"/>
        <v>0</v>
      </c>
      <c r="M37" s="760">
        <f t="shared" si="34"/>
        <v>0</v>
      </c>
      <c r="N37" s="761">
        <f t="shared" si="35"/>
        <v>0</v>
      </c>
      <c r="O37" s="759">
        <f>'4b-ADIT Projection Proration'!I37</f>
        <v>0</v>
      </c>
      <c r="P37" s="760">
        <f t="shared" si="36"/>
        <v>0</v>
      </c>
      <c r="Q37" s="760">
        <f t="shared" si="37"/>
        <v>0</v>
      </c>
      <c r="R37" s="445">
        <v>0</v>
      </c>
      <c r="S37" s="760">
        <f t="shared" si="38"/>
        <v>0</v>
      </c>
      <c r="T37" s="760">
        <f t="shared" si="39"/>
        <v>0</v>
      </c>
      <c r="U37" s="760">
        <f t="shared" si="40"/>
        <v>0</v>
      </c>
      <c r="V37" s="760">
        <f t="shared" si="41"/>
        <v>0</v>
      </c>
      <c r="W37" s="761">
        <f t="shared" si="42"/>
        <v>0</v>
      </c>
      <c r="X37" s="759">
        <f>'4b-ADIT Projection Proration'!K37</f>
        <v>0</v>
      </c>
      <c r="Y37" s="760">
        <f t="shared" si="43"/>
        <v>0</v>
      </c>
      <c r="Z37" s="760">
        <f t="shared" si="44"/>
        <v>0</v>
      </c>
      <c r="AA37" s="445">
        <v>0</v>
      </c>
      <c r="AB37" s="760">
        <f t="shared" si="45"/>
        <v>0</v>
      </c>
      <c r="AC37" s="760">
        <f t="shared" si="46"/>
        <v>0</v>
      </c>
      <c r="AD37" s="760">
        <f t="shared" si="47"/>
        <v>0</v>
      </c>
      <c r="AE37" s="760">
        <f t="shared" si="48"/>
        <v>0</v>
      </c>
      <c r="AF37" s="761">
        <f t="shared" si="49"/>
        <v>0</v>
      </c>
    </row>
    <row r="38" spans="1:33">
      <c r="A38" s="671">
        <f t="shared" si="27"/>
        <v>28</v>
      </c>
      <c r="B38" s="670" t="s">
        <v>1021</v>
      </c>
      <c r="F38" s="757">
        <f t="shared" ref="F38:M38" si="50">SUM(F25:F37)</f>
        <v>0</v>
      </c>
      <c r="G38" s="762">
        <f t="shared" si="50"/>
        <v>0</v>
      </c>
      <c r="H38" s="449"/>
      <c r="I38" s="449">
        <f t="shared" si="50"/>
        <v>0</v>
      </c>
      <c r="J38" s="449">
        <f t="shared" si="50"/>
        <v>0</v>
      </c>
      <c r="K38" s="449">
        <f t="shared" si="50"/>
        <v>0</v>
      </c>
      <c r="L38" s="449">
        <f t="shared" si="50"/>
        <v>0</v>
      </c>
      <c r="M38" s="449">
        <f t="shared" si="50"/>
        <v>0</v>
      </c>
      <c r="N38" s="758"/>
      <c r="O38" s="757">
        <f t="shared" ref="O38:P38" si="51">SUM(O25:O37)</f>
        <v>0</v>
      </c>
      <c r="P38" s="762">
        <f t="shared" si="51"/>
        <v>0</v>
      </c>
      <c r="Q38" s="449"/>
      <c r="R38" s="449">
        <f t="shared" ref="R38:V38" si="52">SUM(R25:R37)</f>
        <v>0</v>
      </c>
      <c r="S38" s="449">
        <f t="shared" si="52"/>
        <v>0</v>
      </c>
      <c r="T38" s="449">
        <f t="shared" si="52"/>
        <v>0</v>
      </c>
      <c r="U38" s="449">
        <f t="shared" si="52"/>
        <v>0</v>
      </c>
      <c r="V38" s="449">
        <f t="shared" si="52"/>
        <v>0</v>
      </c>
      <c r="W38" s="758"/>
      <c r="X38" s="757">
        <f t="shared" ref="X38:Y38" si="53">SUM(X25:X37)</f>
        <v>0</v>
      </c>
      <c r="Y38" s="762">
        <f t="shared" si="53"/>
        <v>0</v>
      </c>
      <c r="Z38" s="449"/>
      <c r="AA38" s="449">
        <f t="shared" ref="AA38:AE38" si="54">SUM(AA25:AA37)</f>
        <v>0</v>
      </c>
      <c r="AB38" s="449">
        <f t="shared" si="54"/>
        <v>0</v>
      </c>
      <c r="AC38" s="449">
        <f t="shared" si="54"/>
        <v>0</v>
      </c>
      <c r="AD38" s="449">
        <f t="shared" si="54"/>
        <v>0</v>
      </c>
      <c r="AE38" s="449">
        <f t="shared" si="54"/>
        <v>0</v>
      </c>
      <c r="AF38" s="758"/>
    </row>
    <row r="39" spans="1:33">
      <c r="A39" s="671"/>
      <c r="F39" s="757"/>
      <c r="G39" s="449"/>
      <c r="H39" s="449"/>
      <c r="I39" s="449"/>
      <c r="J39" s="449"/>
      <c r="K39" s="449"/>
      <c r="L39" s="449"/>
      <c r="M39" s="449"/>
      <c r="N39" s="758"/>
      <c r="O39" s="757"/>
      <c r="P39" s="449"/>
      <c r="Q39" s="449"/>
      <c r="R39" s="449"/>
      <c r="S39" s="449"/>
      <c r="T39" s="449"/>
      <c r="U39" s="449"/>
      <c r="V39" s="449"/>
      <c r="W39" s="758"/>
      <c r="X39" s="757"/>
      <c r="Y39" s="449"/>
      <c r="Z39" s="449"/>
      <c r="AA39" s="449"/>
      <c r="AB39" s="449"/>
      <c r="AC39" s="449"/>
      <c r="AD39" s="449"/>
      <c r="AE39" s="449"/>
      <c r="AF39" s="758"/>
    </row>
    <row r="40" spans="1:33">
      <c r="A40" s="664" t="s">
        <v>1092</v>
      </c>
      <c r="D40" s="666"/>
      <c r="E40" s="666"/>
      <c r="F40" s="757"/>
      <c r="G40" s="449"/>
      <c r="H40" s="449"/>
      <c r="I40" s="449"/>
      <c r="J40" s="449"/>
      <c r="K40" s="449"/>
      <c r="L40" s="449"/>
      <c r="M40" s="449"/>
      <c r="N40" s="758"/>
      <c r="O40" s="757"/>
      <c r="P40" s="449"/>
      <c r="Q40" s="449"/>
      <c r="R40" s="449"/>
      <c r="S40" s="449"/>
      <c r="T40" s="449"/>
      <c r="U40" s="449"/>
      <c r="V40" s="449"/>
      <c r="W40" s="758"/>
      <c r="X40" s="757"/>
      <c r="Y40" s="449"/>
      <c r="Z40" s="449"/>
      <c r="AA40" s="449"/>
      <c r="AB40" s="449"/>
      <c r="AC40" s="449"/>
      <c r="AD40" s="449"/>
      <c r="AE40" s="449"/>
      <c r="AF40" s="758"/>
      <c r="AG40" s="666"/>
    </row>
    <row r="41" spans="1:33">
      <c r="A41" s="671">
        <f>A38+1</f>
        <v>29</v>
      </c>
      <c r="B41" s="670" t="s">
        <v>1023</v>
      </c>
      <c r="C41" s="664" t="s">
        <v>98</v>
      </c>
      <c r="D41" s="785">
        <f>D25</f>
        <v>2023</v>
      </c>
      <c r="E41" s="756">
        <f>365/365</f>
        <v>1</v>
      </c>
      <c r="F41" s="757"/>
      <c r="G41" s="449"/>
      <c r="H41" s="449">
        <f>'4c- ADIT BOY'!E28</f>
        <v>-12723.165763105524</v>
      </c>
      <c r="I41" s="449"/>
      <c r="J41" s="449"/>
      <c r="K41" s="449"/>
      <c r="L41" s="449"/>
      <c r="M41" s="449"/>
      <c r="N41" s="758"/>
      <c r="O41" s="757"/>
      <c r="P41" s="449"/>
      <c r="Q41" s="449">
        <f>'4c- ADIT BOY'!F28</f>
        <v>0</v>
      </c>
      <c r="R41" s="449"/>
      <c r="S41" s="449"/>
      <c r="T41" s="449"/>
      <c r="U41" s="449"/>
      <c r="V41" s="449"/>
      <c r="W41" s="758"/>
      <c r="X41" s="757"/>
      <c r="Y41" s="449"/>
      <c r="Z41" s="449">
        <f>'4c- ADIT BOY'!G28</f>
        <v>0</v>
      </c>
      <c r="AA41" s="449"/>
      <c r="AB41" s="449"/>
      <c r="AC41" s="449"/>
      <c r="AD41" s="449"/>
      <c r="AE41" s="449"/>
      <c r="AF41" s="758"/>
    </row>
    <row r="42" spans="1:33">
      <c r="A42" s="671">
        <f t="shared" ref="A42:A54" si="55">+A41+1</f>
        <v>30</v>
      </c>
      <c r="B42" s="670" t="s">
        <v>1017</v>
      </c>
      <c r="C42" s="664" t="s">
        <v>105</v>
      </c>
      <c r="D42" s="785">
        <f t="shared" ref="D42:D53" si="56">D26</f>
        <v>2024</v>
      </c>
      <c r="E42" s="756">
        <f>335/365</f>
        <v>0.9178082191780822</v>
      </c>
      <c r="F42" s="757">
        <f>'4b-ADIT Projection Proration'!G42</f>
        <v>-43.541552079072368</v>
      </c>
      <c r="G42" s="449">
        <f t="shared" ref="G42:G53" si="57">$E42*F42</f>
        <v>-39.962794373943133</v>
      </c>
      <c r="H42" s="449">
        <f t="shared" ref="H42:H53" si="58">+G42+H41</f>
        <v>-12763.128557479467</v>
      </c>
      <c r="I42" s="443">
        <v>0</v>
      </c>
      <c r="J42" s="449">
        <f t="shared" ref="J42:J53" si="59">I42-F42</f>
        <v>43.541552079072368</v>
      </c>
      <c r="K42" s="449">
        <f t="shared" ref="K42:K53" si="60">IF(J42&gt;=0,+J42,0)</f>
        <v>43.541552079072368</v>
      </c>
      <c r="L42" s="449">
        <f t="shared" ref="L42:L53" si="61">IF(K42&gt;0,0,IF(I42&lt;0,0,(-(J42)*($E42))))</f>
        <v>0</v>
      </c>
      <c r="M42" s="449">
        <f t="shared" ref="M42:M53" si="62">IF(K42&gt;0,0,IF(I42&gt;0,0,(-(J42)*($E42))))</f>
        <v>0</v>
      </c>
      <c r="N42" s="758">
        <f t="shared" ref="N42:N53" si="63">IF(I42&lt;0,N41+M42,N41+$G42+K42-L42)</f>
        <v>3.5787577051292345</v>
      </c>
      <c r="O42" s="757">
        <f>'4b-ADIT Projection Proration'!I42</f>
        <v>0</v>
      </c>
      <c r="P42" s="449">
        <f t="shared" ref="P42:P53" si="64">$E42*O42</f>
        <v>0</v>
      </c>
      <c r="Q42" s="449">
        <f t="shared" ref="Q42:Q53" si="65">+P42+Q41</f>
        <v>0</v>
      </c>
      <c r="R42" s="443">
        <v>0</v>
      </c>
      <c r="S42" s="449">
        <f t="shared" ref="S42:S53" si="66">R42-O42</f>
        <v>0</v>
      </c>
      <c r="T42" s="449">
        <f t="shared" ref="T42:T53" si="67">IF(S42&gt;=0,+S42,0)</f>
        <v>0</v>
      </c>
      <c r="U42" s="449">
        <f t="shared" ref="U42:U53" si="68">IF(T42&gt;0,0,IF(R42&lt;0,0,(-(S42)*($E42))))</f>
        <v>0</v>
      </c>
      <c r="V42" s="449">
        <f t="shared" ref="V42:V53" si="69">IF(T42&gt;0,0,IF(R42&gt;0,0,(-(S42)*($E42))))</f>
        <v>0</v>
      </c>
      <c r="W42" s="758">
        <f t="shared" ref="W42:W53" si="70">IF(R42&lt;0,W41+V42,W41+P42+T42-U42)</f>
        <v>0</v>
      </c>
      <c r="X42" s="757">
        <f>'4b-ADIT Projection Proration'!K42</f>
        <v>0</v>
      </c>
      <c r="Y42" s="449">
        <f t="shared" ref="Y42:Y53" si="71">$E42*X42</f>
        <v>0</v>
      </c>
      <c r="Z42" s="449">
        <f t="shared" ref="Z42:Z53" si="72">+Y42+Z41</f>
        <v>0</v>
      </c>
      <c r="AA42" s="443">
        <v>0</v>
      </c>
      <c r="AB42" s="449">
        <f t="shared" ref="AB42:AB53" si="73">AA42-X42</f>
        <v>0</v>
      </c>
      <c r="AC42" s="449">
        <f t="shared" ref="AC42:AC53" si="74">IF(AB42&gt;=0,+AB42,0)</f>
        <v>0</v>
      </c>
      <c r="AD42" s="449">
        <f t="shared" ref="AD42:AD53" si="75">IF(AC42&gt;0,0,IF(AA42&lt;0,0,(-(AB42)*($E42))))</f>
        <v>0</v>
      </c>
      <c r="AE42" s="449">
        <f t="shared" ref="AE42:AE53" si="76">IF(AC42&gt;0,0,IF(AA42&gt;0,0,(-(AB42)*($E42))))</f>
        <v>0</v>
      </c>
      <c r="AF42" s="758">
        <f t="shared" ref="AF42:AF53" si="77">IF(AA42&lt;0,AF41+AE42,AF41+Y42+AC42-AD42)</f>
        <v>0</v>
      </c>
    </row>
    <row r="43" spans="1:33">
      <c r="A43" s="671">
        <f t="shared" si="55"/>
        <v>31</v>
      </c>
      <c r="B43" s="670" t="s">
        <v>1017</v>
      </c>
      <c r="C43" s="664" t="s">
        <v>104</v>
      </c>
      <c r="D43" s="785">
        <f t="shared" si="56"/>
        <v>2024</v>
      </c>
      <c r="E43" s="756">
        <f>307/365</f>
        <v>0.84109589041095889</v>
      </c>
      <c r="F43" s="757">
        <f>'4b-ADIT Projection Proration'!G43</f>
        <v>-43.541552079072368</v>
      </c>
      <c r="G43" s="449">
        <f t="shared" si="57"/>
        <v>-36.622620515822511</v>
      </c>
      <c r="H43" s="449">
        <f t="shared" si="58"/>
        <v>-12799.751177995289</v>
      </c>
      <c r="I43" s="443">
        <v>0</v>
      </c>
      <c r="J43" s="449">
        <f t="shared" si="59"/>
        <v>43.541552079072368</v>
      </c>
      <c r="K43" s="449">
        <f t="shared" si="60"/>
        <v>43.541552079072368</v>
      </c>
      <c r="L43" s="449">
        <f t="shared" si="61"/>
        <v>0</v>
      </c>
      <c r="M43" s="449">
        <f t="shared" si="62"/>
        <v>0</v>
      </c>
      <c r="N43" s="758">
        <f t="shared" si="63"/>
        <v>10.497689268379091</v>
      </c>
      <c r="O43" s="757">
        <f>'4b-ADIT Projection Proration'!I43</f>
        <v>0</v>
      </c>
      <c r="P43" s="449">
        <f t="shared" si="64"/>
        <v>0</v>
      </c>
      <c r="Q43" s="449">
        <f t="shared" si="65"/>
        <v>0</v>
      </c>
      <c r="R43" s="443">
        <v>0</v>
      </c>
      <c r="S43" s="449">
        <f t="shared" si="66"/>
        <v>0</v>
      </c>
      <c r="T43" s="449">
        <f t="shared" si="67"/>
        <v>0</v>
      </c>
      <c r="U43" s="449">
        <f t="shared" si="68"/>
        <v>0</v>
      </c>
      <c r="V43" s="449">
        <f t="shared" si="69"/>
        <v>0</v>
      </c>
      <c r="W43" s="758">
        <f t="shared" si="70"/>
        <v>0</v>
      </c>
      <c r="X43" s="757">
        <f>'4b-ADIT Projection Proration'!K43</f>
        <v>0</v>
      </c>
      <c r="Y43" s="449">
        <f t="shared" si="71"/>
        <v>0</v>
      </c>
      <c r="Z43" s="449">
        <f t="shared" si="72"/>
        <v>0</v>
      </c>
      <c r="AA43" s="443">
        <v>0</v>
      </c>
      <c r="AB43" s="449">
        <f t="shared" si="73"/>
        <v>0</v>
      </c>
      <c r="AC43" s="449">
        <f t="shared" si="74"/>
        <v>0</v>
      </c>
      <c r="AD43" s="449">
        <f t="shared" si="75"/>
        <v>0</v>
      </c>
      <c r="AE43" s="449">
        <f t="shared" si="76"/>
        <v>0</v>
      </c>
      <c r="AF43" s="758">
        <f t="shared" si="77"/>
        <v>0</v>
      </c>
    </row>
    <row r="44" spans="1:33">
      <c r="A44" s="671">
        <f t="shared" si="55"/>
        <v>32</v>
      </c>
      <c r="B44" s="670" t="s">
        <v>1017</v>
      </c>
      <c r="C44" s="664" t="s">
        <v>103</v>
      </c>
      <c r="D44" s="785">
        <f t="shared" si="56"/>
        <v>2024</v>
      </c>
      <c r="E44" s="756">
        <f>276/365</f>
        <v>0.75616438356164384</v>
      </c>
      <c r="F44" s="757">
        <f>'4b-ADIT Projection Proration'!G44</f>
        <v>-43.541552079072368</v>
      </c>
      <c r="G44" s="449">
        <f t="shared" si="57"/>
        <v>-32.92457088718897</v>
      </c>
      <c r="H44" s="449">
        <f t="shared" si="58"/>
        <v>-12832.675748882479</v>
      </c>
      <c r="I44" s="443">
        <v>0</v>
      </c>
      <c r="J44" s="449">
        <f t="shared" si="59"/>
        <v>43.541552079072368</v>
      </c>
      <c r="K44" s="449">
        <f t="shared" si="60"/>
        <v>43.541552079072368</v>
      </c>
      <c r="L44" s="449">
        <f t="shared" si="61"/>
        <v>0</v>
      </c>
      <c r="M44" s="449">
        <f t="shared" si="62"/>
        <v>0</v>
      </c>
      <c r="N44" s="758">
        <f t="shared" si="63"/>
        <v>21.114670460262488</v>
      </c>
      <c r="O44" s="757">
        <f>'4b-ADIT Projection Proration'!I44</f>
        <v>0</v>
      </c>
      <c r="P44" s="449">
        <f t="shared" si="64"/>
        <v>0</v>
      </c>
      <c r="Q44" s="449">
        <f t="shared" si="65"/>
        <v>0</v>
      </c>
      <c r="R44" s="443">
        <v>0</v>
      </c>
      <c r="S44" s="449">
        <f t="shared" si="66"/>
        <v>0</v>
      </c>
      <c r="T44" s="449">
        <f t="shared" si="67"/>
        <v>0</v>
      </c>
      <c r="U44" s="449">
        <f t="shared" si="68"/>
        <v>0</v>
      </c>
      <c r="V44" s="449">
        <f t="shared" si="69"/>
        <v>0</v>
      </c>
      <c r="W44" s="758">
        <f t="shared" si="70"/>
        <v>0</v>
      </c>
      <c r="X44" s="757">
        <f>'4b-ADIT Projection Proration'!K44</f>
        <v>0</v>
      </c>
      <c r="Y44" s="449">
        <f t="shared" si="71"/>
        <v>0</v>
      </c>
      <c r="Z44" s="449">
        <f t="shared" si="72"/>
        <v>0</v>
      </c>
      <c r="AA44" s="443">
        <v>0</v>
      </c>
      <c r="AB44" s="449">
        <f t="shared" si="73"/>
        <v>0</v>
      </c>
      <c r="AC44" s="449">
        <f t="shared" si="74"/>
        <v>0</v>
      </c>
      <c r="AD44" s="449">
        <f t="shared" si="75"/>
        <v>0</v>
      </c>
      <c r="AE44" s="449">
        <f t="shared" si="76"/>
        <v>0</v>
      </c>
      <c r="AF44" s="758">
        <f t="shared" si="77"/>
        <v>0</v>
      </c>
    </row>
    <row r="45" spans="1:33">
      <c r="A45" s="671">
        <f t="shared" si="55"/>
        <v>33</v>
      </c>
      <c r="B45" s="670" t="s">
        <v>1017</v>
      </c>
      <c r="C45" s="664" t="s">
        <v>95</v>
      </c>
      <c r="D45" s="785">
        <f t="shared" si="56"/>
        <v>2024</v>
      </c>
      <c r="E45" s="756">
        <f>246/365</f>
        <v>0.67397260273972603</v>
      </c>
      <c r="F45" s="757">
        <f>'4b-ADIT Projection Proration'!G45</f>
        <v>-43.541552079072368</v>
      </c>
      <c r="G45" s="449">
        <f t="shared" si="57"/>
        <v>-29.345813182059732</v>
      </c>
      <c r="H45" s="449">
        <f t="shared" si="58"/>
        <v>-12862.021562064538</v>
      </c>
      <c r="I45" s="443">
        <v>0</v>
      </c>
      <c r="J45" s="449">
        <f t="shared" si="59"/>
        <v>43.541552079072368</v>
      </c>
      <c r="K45" s="449">
        <f t="shared" si="60"/>
        <v>43.541552079072368</v>
      </c>
      <c r="L45" s="449">
        <f t="shared" si="61"/>
        <v>0</v>
      </c>
      <c r="M45" s="449">
        <f t="shared" si="62"/>
        <v>0</v>
      </c>
      <c r="N45" s="758">
        <f t="shared" si="63"/>
        <v>35.31040935727512</v>
      </c>
      <c r="O45" s="757">
        <f>'4b-ADIT Projection Proration'!I45</f>
        <v>0</v>
      </c>
      <c r="P45" s="449">
        <f t="shared" si="64"/>
        <v>0</v>
      </c>
      <c r="Q45" s="449">
        <f t="shared" si="65"/>
        <v>0</v>
      </c>
      <c r="R45" s="443">
        <v>0</v>
      </c>
      <c r="S45" s="449">
        <f t="shared" si="66"/>
        <v>0</v>
      </c>
      <c r="T45" s="449">
        <f t="shared" si="67"/>
        <v>0</v>
      </c>
      <c r="U45" s="449">
        <f t="shared" si="68"/>
        <v>0</v>
      </c>
      <c r="V45" s="449">
        <f t="shared" si="69"/>
        <v>0</v>
      </c>
      <c r="W45" s="758">
        <f t="shared" si="70"/>
        <v>0</v>
      </c>
      <c r="X45" s="757">
        <f>'4b-ADIT Projection Proration'!K45</f>
        <v>0</v>
      </c>
      <c r="Y45" s="449">
        <f t="shared" si="71"/>
        <v>0</v>
      </c>
      <c r="Z45" s="449">
        <f t="shared" si="72"/>
        <v>0</v>
      </c>
      <c r="AA45" s="443">
        <v>0</v>
      </c>
      <c r="AB45" s="449">
        <f t="shared" si="73"/>
        <v>0</v>
      </c>
      <c r="AC45" s="449">
        <f t="shared" si="74"/>
        <v>0</v>
      </c>
      <c r="AD45" s="449">
        <f t="shared" si="75"/>
        <v>0</v>
      </c>
      <c r="AE45" s="449">
        <f t="shared" si="76"/>
        <v>0</v>
      </c>
      <c r="AF45" s="758">
        <f t="shared" si="77"/>
        <v>0</v>
      </c>
    </row>
    <row r="46" spans="1:33">
      <c r="A46" s="671">
        <f t="shared" si="55"/>
        <v>34</v>
      </c>
      <c r="B46" s="670" t="s">
        <v>1017</v>
      </c>
      <c r="C46" s="664" t="s">
        <v>92</v>
      </c>
      <c r="D46" s="785">
        <f t="shared" si="56"/>
        <v>2024</v>
      </c>
      <c r="E46" s="756">
        <f>215/365</f>
        <v>0.58904109589041098</v>
      </c>
      <c r="F46" s="757">
        <f>'4b-ADIT Projection Proration'!G46</f>
        <v>-43.541552079072368</v>
      </c>
      <c r="G46" s="449">
        <f t="shared" si="57"/>
        <v>-25.647763553426191</v>
      </c>
      <c r="H46" s="449">
        <f t="shared" si="58"/>
        <v>-12887.669325617964</v>
      </c>
      <c r="I46" s="443">
        <v>0</v>
      </c>
      <c r="J46" s="449">
        <f t="shared" si="59"/>
        <v>43.541552079072368</v>
      </c>
      <c r="K46" s="449">
        <f t="shared" si="60"/>
        <v>43.541552079072368</v>
      </c>
      <c r="L46" s="449">
        <f t="shared" si="61"/>
        <v>0</v>
      </c>
      <c r="M46" s="449">
        <f t="shared" si="62"/>
        <v>0</v>
      </c>
      <c r="N46" s="758">
        <f t="shared" si="63"/>
        <v>53.204197882921292</v>
      </c>
      <c r="O46" s="757">
        <f>'4b-ADIT Projection Proration'!I46</f>
        <v>0</v>
      </c>
      <c r="P46" s="449">
        <f t="shared" si="64"/>
        <v>0</v>
      </c>
      <c r="Q46" s="449">
        <f t="shared" si="65"/>
        <v>0</v>
      </c>
      <c r="R46" s="443">
        <v>0</v>
      </c>
      <c r="S46" s="449">
        <f t="shared" si="66"/>
        <v>0</v>
      </c>
      <c r="T46" s="449">
        <f t="shared" si="67"/>
        <v>0</v>
      </c>
      <c r="U46" s="449">
        <f t="shared" si="68"/>
        <v>0</v>
      </c>
      <c r="V46" s="449">
        <f t="shared" si="69"/>
        <v>0</v>
      </c>
      <c r="W46" s="758">
        <f t="shared" si="70"/>
        <v>0</v>
      </c>
      <c r="X46" s="757">
        <f>'4b-ADIT Projection Proration'!K46</f>
        <v>0</v>
      </c>
      <c r="Y46" s="449">
        <f t="shared" si="71"/>
        <v>0</v>
      </c>
      <c r="Z46" s="449">
        <f t="shared" si="72"/>
        <v>0</v>
      </c>
      <c r="AA46" s="443">
        <v>0</v>
      </c>
      <c r="AB46" s="449">
        <f t="shared" si="73"/>
        <v>0</v>
      </c>
      <c r="AC46" s="449">
        <f t="shared" si="74"/>
        <v>0</v>
      </c>
      <c r="AD46" s="449">
        <f t="shared" si="75"/>
        <v>0</v>
      </c>
      <c r="AE46" s="449">
        <f t="shared" si="76"/>
        <v>0</v>
      </c>
      <c r="AF46" s="758">
        <f t="shared" si="77"/>
        <v>0</v>
      </c>
    </row>
    <row r="47" spans="1:33">
      <c r="A47" s="671">
        <f t="shared" si="55"/>
        <v>35</v>
      </c>
      <c r="B47" s="670" t="s">
        <v>1017</v>
      </c>
      <c r="C47" s="664" t="s">
        <v>145</v>
      </c>
      <c r="D47" s="785">
        <f t="shared" si="56"/>
        <v>2024</v>
      </c>
      <c r="E47" s="756">
        <f>185/365</f>
        <v>0.50684931506849318</v>
      </c>
      <c r="F47" s="757">
        <f>'4b-ADIT Projection Proration'!G47</f>
        <v>-43.541552079072368</v>
      </c>
      <c r="G47" s="449">
        <f t="shared" si="57"/>
        <v>-22.069005848296953</v>
      </c>
      <c r="H47" s="449">
        <f t="shared" si="58"/>
        <v>-12909.738331466262</v>
      </c>
      <c r="I47" s="443">
        <v>0</v>
      </c>
      <c r="J47" s="449">
        <f t="shared" si="59"/>
        <v>43.541552079072368</v>
      </c>
      <c r="K47" s="449">
        <f t="shared" si="60"/>
        <v>43.541552079072368</v>
      </c>
      <c r="L47" s="449">
        <f t="shared" si="61"/>
        <v>0</v>
      </c>
      <c r="M47" s="449">
        <f t="shared" si="62"/>
        <v>0</v>
      </c>
      <c r="N47" s="758">
        <f t="shared" si="63"/>
        <v>74.676744113696714</v>
      </c>
      <c r="O47" s="757">
        <f>'4b-ADIT Projection Proration'!I47</f>
        <v>0</v>
      </c>
      <c r="P47" s="449">
        <f t="shared" si="64"/>
        <v>0</v>
      </c>
      <c r="Q47" s="449">
        <f t="shared" si="65"/>
        <v>0</v>
      </c>
      <c r="R47" s="443">
        <v>0</v>
      </c>
      <c r="S47" s="449">
        <f t="shared" si="66"/>
        <v>0</v>
      </c>
      <c r="T47" s="449">
        <f t="shared" si="67"/>
        <v>0</v>
      </c>
      <c r="U47" s="449">
        <f t="shared" si="68"/>
        <v>0</v>
      </c>
      <c r="V47" s="449">
        <f t="shared" si="69"/>
        <v>0</v>
      </c>
      <c r="W47" s="758">
        <f t="shared" si="70"/>
        <v>0</v>
      </c>
      <c r="X47" s="757">
        <f>'4b-ADIT Projection Proration'!K47</f>
        <v>0</v>
      </c>
      <c r="Y47" s="449">
        <f t="shared" si="71"/>
        <v>0</v>
      </c>
      <c r="Z47" s="449">
        <f t="shared" si="72"/>
        <v>0</v>
      </c>
      <c r="AA47" s="443">
        <v>0</v>
      </c>
      <c r="AB47" s="449">
        <f t="shared" si="73"/>
        <v>0</v>
      </c>
      <c r="AC47" s="449">
        <f t="shared" si="74"/>
        <v>0</v>
      </c>
      <c r="AD47" s="449">
        <f t="shared" si="75"/>
        <v>0</v>
      </c>
      <c r="AE47" s="449">
        <f t="shared" si="76"/>
        <v>0</v>
      </c>
      <c r="AF47" s="758">
        <f t="shared" si="77"/>
        <v>0</v>
      </c>
    </row>
    <row r="48" spans="1:33">
      <c r="A48" s="671">
        <f t="shared" si="55"/>
        <v>36</v>
      </c>
      <c r="B48" s="670" t="s">
        <v>1017</v>
      </c>
      <c r="C48" s="664" t="s">
        <v>102</v>
      </c>
      <c r="D48" s="785">
        <f t="shared" si="56"/>
        <v>2024</v>
      </c>
      <c r="E48" s="756">
        <f>154/365</f>
        <v>0.42191780821917807</v>
      </c>
      <c r="F48" s="757">
        <f>'4b-ADIT Projection Proration'!G48</f>
        <v>-43.541552079072368</v>
      </c>
      <c r="G48" s="449">
        <f t="shared" si="57"/>
        <v>-18.370956219663409</v>
      </c>
      <c r="H48" s="449">
        <f t="shared" si="58"/>
        <v>-12928.109287685926</v>
      </c>
      <c r="I48" s="443">
        <v>0</v>
      </c>
      <c r="J48" s="449">
        <f t="shared" si="59"/>
        <v>43.541552079072368</v>
      </c>
      <c r="K48" s="449">
        <f t="shared" si="60"/>
        <v>43.541552079072368</v>
      </c>
      <c r="L48" s="449">
        <f t="shared" si="61"/>
        <v>0</v>
      </c>
      <c r="M48" s="449">
        <f t="shared" si="62"/>
        <v>0</v>
      </c>
      <c r="N48" s="758">
        <f t="shared" si="63"/>
        <v>99.847339973105676</v>
      </c>
      <c r="O48" s="757">
        <f>'4b-ADIT Projection Proration'!I48</f>
        <v>0</v>
      </c>
      <c r="P48" s="449">
        <f t="shared" si="64"/>
        <v>0</v>
      </c>
      <c r="Q48" s="449">
        <f t="shared" si="65"/>
        <v>0</v>
      </c>
      <c r="R48" s="443">
        <v>0</v>
      </c>
      <c r="S48" s="449">
        <f t="shared" si="66"/>
        <v>0</v>
      </c>
      <c r="T48" s="449">
        <f t="shared" si="67"/>
        <v>0</v>
      </c>
      <c r="U48" s="449">
        <f t="shared" si="68"/>
        <v>0</v>
      </c>
      <c r="V48" s="449">
        <f t="shared" si="69"/>
        <v>0</v>
      </c>
      <c r="W48" s="758">
        <f t="shared" si="70"/>
        <v>0</v>
      </c>
      <c r="X48" s="757">
        <f>'4b-ADIT Projection Proration'!K48</f>
        <v>0</v>
      </c>
      <c r="Y48" s="449">
        <f t="shared" si="71"/>
        <v>0</v>
      </c>
      <c r="Z48" s="449">
        <f t="shared" si="72"/>
        <v>0</v>
      </c>
      <c r="AA48" s="443">
        <v>0</v>
      </c>
      <c r="AB48" s="449">
        <f t="shared" si="73"/>
        <v>0</v>
      </c>
      <c r="AC48" s="449">
        <f t="shared" si="74"/>
        <v>0</v>
      </c>
      <c r="AD48" s="449">
        <f t="shared" si="75"/>
        <v>0</v>
      </c>
      <c r="AE48" s="449">
        <f t="shared" si="76"/>
        <v>0</v>
      </c>
      <c r="AF48" s="758">
        <f t="shared" si="77"/>
        <v>0</v>
      </c>
    </row>
    <row r="49" spans="1:32">
      <c r="A49" s="671">
        <f t="shared" si="55"/>
        <v>37</v>
      </c>
      <c r="B49" s="670" t="s">
        <v>1017</v>
      </c>
      <c r="C49" s="664" t="s">
        <v>101</v>
      </c>
      <c r="D49" s="785">
        <f t="shared" si="56"/>
        <v>2024</v>
      </c>
      <c r="E49" s="756">
        <f>123/365</f>
        <v>0.33698630136986302</v>
      </c>
      <c r="F49" s="757">
        <f>'4b-ADIT Projection Proration'!G49</f>
        <v>-43.541552079072368</v>
      </c>
      <c r="G49" s="449">
        <f t="shared" si="57"/>
        <v>-14.672906591029866</v>
      </c>
      <c r="H49" s="449">
        <f t="shared" si="58"/>
        <v>-12942.782194276955</v>
      </c>
      <c r="I49" s="443">
        <v>0</v>
      </c>
      <c r="J49" s="449">
        <f t="shared" si="59"/>
        <v>43.541552079072368</v>
      </c>
      <c r="K49" s="449">
        <f t="shared" si="60"/>
        <v>43.541552079072368</v>
      </c>
      <c r="L49" s="449">
        <f t="shared" si="61"/>
        <v>0</v>
      </c>
      <c r="M49" s="449">
        <f t="shared" si="62"/>
        <v>0</v>
      </c>
      <c r="N49" s="758">
        <f t="shared" si="63"/>
        <v>128.71598546114816</v>
      </c>
      <c r="O49" s="757">
        <f>'4b-ADIT Projection Proration'!I49</f>
        <v>0</v>
      </c>
      <c r="P49" s="449">
        <f t="shared" si="64"/>
        <v>0</v>
      </c>
      <c r="Q49" s="449">
        <f t="shared" si="65"/>
        <v>0</v>
      </c>
      <c r="R49" s="443">
        <v>0</v>
      </c>
      <c r="S49" s="449">
        <f t="shared" si="66"/>
        <v>0</v>
      </c>
      <c r="T49" s="449">
        <f t="shared" si="67"/>
        <v>0</v>
      </c>
      <c r="U49" s="449">
        <f t="shared" si="68"/>
        <v>0</v>
      </c>
      <c r="V49" s="449">
        <f t="shared" si="69"/>
        <v>0</v>
      </c>
      <c r="W49" s="758">
        <f t="shared" si="70"/>
        <v>0</v>
      </c>
      <c r="X49" s="757">
        <f>'4b-ADIT Projection Proration'!K49</f>
        <v>0</v>
      </c>
      <c r="Y49" s="449">
        <f t="shared" si="71"/>
        <v>0</v>
      </c>
      <c r="Z49" s="449">
        <f t="shared" si="72"/>
        <v>0</v>
      </c>
      <c r="AA49" s="443">
        <v>0</v>
      </c>
      <c r="AB49" s="449">
        <f t="shared" si="73"/>
        <v>0</v>
      </c>
      <c r="AC49" s="449">
        <f t="shared" si="74"/>
        <v>0</v>
      </c>
      <c r="AD49" s="449">
        <f t="shared" si="75"/>
        <v>0</v>
      </c>
      <c r="AE49" s="449">
        <f t="shared" si="76"/>
        <v>0</v>
      </c>
      <c r="AF49" s="758">
        <f t="shared" si="77"/>
        <v>0</v>
      </c>
    </row>
    <row r="50" spans="1:32">
      <c r="A50" s="671">
        <f t="shared" si="55"/>
        <v>38</v>
      </c>
      <c r="B50" s="670" t="s">
        <v>1017</v>
      </c>
      <c r="C50" s="664" t="s">
        <v>100</v>
      </c>
      <c r="D50" s="785">
        <f t="shared" si="56"/>
        <v>2024</v>
      </c>
      <c r="E50" s="756">
        <f>93/365</f>
        <v>0.25479452054794521</v>
      </c>
      <c r="F50" s="757">
        <f>'4b-ADIT Projection Proration'!G50</f>
        <v>-43.541552079072368</v>
      </c>
      <c r="G50" s="449">
        <f t="shared" si="57"/>
        <v>-11.094148885900632</v>
      </c>
      <c r="H50" s="449">
        <f t="shared" si="58"/>
        <v>-12953.876343162856</v>
      </c>
      <c r="I50" s="443">
        <v>0</v>
      </c>
      <c r="J50" s="449">
        <f t="shared" si="59"/>
        <v>43.541552079072368</v>
      </c>
      <c r="K50" s="449">
        <f t="shared" si="60"/>
        <v>43.541552079072368</v>
      </c>
      <c r="L50" s="449">
        <f t="shared" si="61"/>
        <v>0</v>
      </c>
      <c r="M50" s="449">
        <f t="shared" si="62"/>
        <v>0</v>
      </c>
      <c r="N50" s="758">
        <f t="shared" si="63"/>
        <v>161.1633886543199</v>
      </c>
      <c r="O50" s="757">
        <f>'4b-ADIT Projection Proration'!I50</f>
        <v>0</v>
      </c>
      <c r="P50" s="449">
        <f t="shared" si="64"/>
        <v>0</v>
      </c>
      <c r="Q50" s="449">
        <f t="shared" si="65"/>
        <v>0</v>
      </c>
      <c r="R50" s="443">
        <v>0</v>
      </c>
      <c r="S50" s="449">
        <f t="shared" si="66"/>
        <v>0</v>
      </c>
      <c r="T50" s="449">
        <f t="shared" si="67"/>
        <v>0</v>
      </c>
      <c r="U50" s="449">
        <f t="shared" si="68"/>
        <v>0</v>
      </c>
      <c r="V50" s="449">
        <f t="shared" si="69"/>
        <v>0</v>
      </c>
      <c r="W50" s="758">
        <f t="shared" si="70"/>
        <v>0</v>
      </c>
      <c r="X50" s="757">
        <f>'4b-ADIT Projection Proration'!K50</f>
        <v>0</v>
      </c>
      <c r="Y50" s="449">
        <f t="shared" si="71"/>
        <v>0</v>
      </c>
      <c r="Z50" s="449">
        <f t="shared" si="72"/>
        <v>0</v>
      </c>
      <c r="AA50" s="443">
        <v>0</v>
      </c>
      <c r="AB50" s="449">
        <f t="shared" si="73"/>
        <v>0</v>
      </c>
      <c r="AC50" s="449">
        <f t="shared" si="74"/>
        <v>0</v>
      </c>
      <c r="AD50" s="449">
        <f t="shared" si="75"/>
        <v>0</v>
      </c>
      <c r="AE50" s="449">
        <f t="shared" si="76"/>
        <v>0</v>
      </c>
      <c r="AF50" s="758">
        <f t="shared" si="77"/>
        <v>0</v>
      </c>
    </row>
    <row r="51" spans="1:32">
      <c r="A51" s="671">
        <f t="shared" si="55"/>
        <v>39</v>
      </c>
      <c r="B51" s="670" t="s">
        <v>1017</v>
      </c>
      <c r="C51" s="664" t="s">
        <v>106</v>
      </c>
      <c r="D51" s="785">
        <f t="shared" si="56"/>
        <v>2024</v>
      </c>
      <c r="E51" s="756">
        <f>62/365</f>
        <v>0.16986301369863013</v>
      </c>
      <c r="F51" s="757">
        <f>'4b-ADIT Projection Proration'!G51</f>
        <v>-43.541552079072368</v>
      </c>
      <c r="G51" s="449">
        <f t="shared" si="57"/>
        <v>-7.3960992572670872</v>
      </c>
      <c r="H51" s="449">
        <f t="shared" si="58"/>
        <v>-12961.272442420122</v>
      </c>
      <c r="I51" s="443">
        <v>0</v>
      </c>
      <c r="J51" s="449">
        <f t="shared" si="59"/>
        <v>43.541552079072368</v>
      </c>
      <c r="K51" s="449">
        <f t="shared" si="60"/>
        <v>43.541552079072368</v>
      </c>
      <c r="L51" s="449">
        <f t="shared" si="61"/>
        <v>0</v>
      </c>
      <c r="M51" s="449">
        <f t="shared" si="62"/>
        <v>0</v>
      </c>
      <c r="N51" s="758">
        <f t="shared" si="63"/>
        <v>197.3088414761252</v>
      </c>
      <c r="O51" s="757">
        <f>'4b-ADIT Projection Proration'!I51</f>
        <v>0</v>
      </c>
      <c r="P51" s="449">
        <f t="shared" si="64"/>
        <v>0</v>
      </c>
      <c r="Q51" s="449">
        <f t="shared" si="65"/>
        <v>0</v>
      </c>
      <c r="R51" s="443">
        <v>0</v>
      </c>
      <c r="S51" s="449">
        <f t="shared" si="66"/>
        <v>0</v>
      </c>
      <c r="T51" s="449">
        <f t="shared" si="67"/>
        <v>0</v>
      </c>
      <c r="U51" s="449">
        <f t="shared" si="68"/>
        <v>0</v>
      </c>
      <c r="V51" s="449">
        <f t="shared" si="69"/>
        <v>0</v>
      </c>
      <c r="W51" s="758">
        <f t="shared" si="70"/>
        <v>0</v>
      </c>
      <c r="X51" s="757">
        <f>'4b-ADIT Projection Proration'!K51</f>
        <v>0</v>
      </c>
      <c r="Y51" s="449">
        <f t="shared" si="71"/>
        <v>0</v>
      </c>
      <c r="Z51" s="449">
        <f t="shared" si="72"/>
        <v>0</v>
      </c>
      <c r="AA51" s="443">
        <v>0</v>
      </c>
      <c r="AB51" s="449">
        <f t="shared" si="73"/>
        <v>0</v>
      </c>
      <c r="AC51" s="449">
        <f t="shared" si="74"/>
        <v>0</v>
      </c>
      <c r="AD51" s="449">
        <f t="shared" si="75"/>
        <v>0</v>
      </c>
      <c r="AE51" s="449">
        <f t="shared" si="76"/>
        <v>0</v>
      </c>
      <c r="AF51" s="758">
        <f t="shared" si="77"/>
        <v>0</v>
      </c>
    </row>
    <row r="52" spans="1:32">
      <c r="A52" s="671">
        <f t="shared" si="55"/>
        <v>40</v>
      </c>
      <c r="B52" s="670" t="s">
        <v>1017</v>
      </c>
      <c r="C52" s="664" t="s">
        <v>99</v>
      </c>
      <c r="D52" s="785">
        <f t="shared" si="56"/>
        <v>2024</v>
      </c>
      <c r="E52" s="756">
        <f>32/365</f>
        <v>8.7671232876712329E-2</v>
      </c>
      <c r="F52" s="757">
        <f>'4b-ADIT Projection Proration'!G52</f>
        <v>-43.541552079072368</v>
      </c>
      <c r="G52" s="449">
        <f t="shared" si="57"/>
        <v>-3.8173415521378513</v>
      </c>
      <c r="H52" s="449">
        <f t="shared" si="58"/>
        <v>-12965.08978397226</v>
      </c>
      <c r="I52" s="443">
        <v>0</v>
      </c>
      <c r="J52" s="449">
        <f t="shared" si="59"/>
        <v>43.541552079072368</v>
      </c>
      <c r="K52" s="449">
        <f t="shared" si="60"/>
        <v>43.541552079072368</v>
      </c>
      <c r="L52" s="449">
        <f t="shared" si="61"/>
        <v>0</v>
      </c>
      <c r="M52" s="449">
        <f t="shared" si="62"/>
        <v>0</v>
      </c>
      <c r="N52" s="758">
        <f t="shared" si="63"/>
        <v>237.03305200305971</v>
      </c>
      <c r="O52" s="757">
        <f>'4b-ADIT Projection Proration'!I52</f>
        <v>0</v>
      </c>
      <c r="P52" s="449">
        <f t="shared" si="64"/>
        <v>0</v>
      </c>
      <c r="Q52" s="449">
        <f t="shared" si="65"/>
        <v>0</v>
      </c>
      <c r="R52" s="443">
        <v>0</v>
      </c>
      <c r="S52" s="449">
        <f t="shared" si="66"/>
        <v>0</v>
      </c>
      <c r="T52" s="449">
        <f t="shared" si="67"/>
        <v>0</v>
      </c>
      <c r="U52" s="449">
        <f t="shared" si="68"/>
        <v>0</v>
      </c>
      <c r="V52" s="449">
        <f t="shared" si="69"/>
        <v>0</v>
      </c>
      <c r="W52" s="758">
        <f t="shared" si="70"/>
        <v>0</v>
      </c>
      <c r="X52" s="757">
        <f>'4b-ADIT Projection Proration'!K52</f>
        <v>0</v>
      </c>
      <c r="Y52" s="449">
        <f t="shared" si="71"/>
        <v>0</v>
      </c>
      <c r="Z52" s="449">
        <f t="shared" si="72"/>
        <v>0</v>
      </c>
      <c r="AA52" s="443">
        <v>0</v>
      </c>
      <c r="AB52" s="449">
        <f t="shared" si="73"/>
        <v>0</v>
      </c>
      <c r="AC52" s="449">
        <f t="shared" si="74"/>
        <v>0</v>
      </c>
      <c r="AD52" s="449">
        <f t="shared" si="75"/>
        <v>0</v>
      </c>
      <c r="AE52" s="449">
        <f t="shared" si="76"/>
        <v>0</v>
      </c>
      <c r="AF52" s="758">
        <f t="shared" si="77"/>
        <v>0</v>
      </c>
    </row>
    <row r="53" spans="1:32">
      <c r="A53" s="671">
        <f t="shared" si="55"/>
        <v>41</v>
      </c>
      <c r="B53" s="670" t="s">
        <v>1017</v>
      </c>
      <c r="C53" s="664" t="s">
        <v>98</v>
      </c>
      <c r="D53" s="785">
        <f t="shared" si="56"/>
        <v>2024</v>
      </c>
      <c r="E53" s="756">
        <f>1/365</f>
        <v>2.7397260273972603E-3</v>
      </c>
      <c r="F53" s="759">
        <f>'4b-ADIT Projection Proration'!G53</f>
        <v>-43.541552079072368</v>
      </c>
      <c r="G53" s="760">
        <f t="shared" si="57"/>
        <v>-0.11929192350430785</v>
      </c>
      <c r="H53" s="760">
        <f t="shared" si="58"/>
        <v>-12965.209075895764</v>
      </c>
      <c r="I53" s="445">
        <v>0</v>
      </c>
      <c r="J53" s="760">
        <f t="shared" si="59"/>
        <v>43.541552079072368</v>
      </c>
      <c r="K53" s="760">
        <f t="shared" si="60"/>
        <v>43.541552079072368</v>
      </c>
      <c r="L53" s="760">
        <f t="shared" si="61"/>
        <v>0</v>
      </c>
      <c r="M53" s="760">
        <f t="shared" si="62"/>
        <v>0</v>
      </c>
      <c r="N53" s="761">
        <f t="shared" si="63"/>
        <v>280.45531215862775</v>
      </c>
      <c r="O53" s="759">
        <f>'4b-ADIT Projection Proration'!I53</f>
        <v>0</v>
      </c>
      <c r="P53" s="760">
        <f t="shared" si="64"/>
        <v>0</v>
      </c>
      <c r="Q53" s="760">
        <f t="shared" si="65"/>
        <v>0</v>
      </c>
      <c r="R53" s="445">
        <v>0</v>
      </c>
      <c r="S53" s="760">
        <f t="shared" si="66"/>
        <v>0</v>
      </c>
      <c r="T53" s="760">
        <f t="shared" si="67"/>
        <v>0</v>
      </c>
      <c r="U53" s="760">
        <f t="shared" si="68"/>
        <v>0</v>
      </c>
      <c r="V53" s="760">
        <f t="shared" si="69"/>
        <v>0</v>
      </c>
      <c r="W53" s="761">
        <f t="shared" si="70"/>
        <v>0</v>
      </c>
      <c r="X53" s="759">
        <f>'4b-ADIT Projection Proration'!K53</f>
        <v>0</v>
      </c>
      <c r="Y53" s="760">
        <f t="shared" si="71"/>
        <v>0</v>
      </c>
      <c r="Z53" s="760">
        <f t="shared" si="72"/>
        <v>0</v>
      </c>
      <c r="AA53" s="445">
        <v>0</v>
      </c>
      <c r="AB53" s="760">
        <f t="shared" si="73"/>
        <v>0</v>
      </c>
      <c r="AC53" s="760">
        <f t="shared" si="74"/>
        <v>0</v>
      </c>
      <c r="AD53" s="760">
        <f t="shared" si="75"/>
        <v>0</v>
      </c>
      <c r="AE53" s="760">
        <f t="shared" si="76"/>
        <v>0</v>
      </c>
      <c r="AF53" s="761">
        <f t="shared" si="77"/>
        <v>0</v>
      </c>
    </row>
    <row r="54" spans="1:32" ht="13.5" thickBot="1">
      <c r="A54" s="671">
        <f t="shared" si="55"/>
        <v>42</v>
      </c>
      <c r="B54" s="670" t="s">
        <v>1024</v>
      </c>
      <c r="F54" s="763">
        <f t="shared" ref="F54:M54" si="78">SUM(F41:F53)</f>
        <v>-522.49862494886827</v>
      </c>
      <c r="G54" s="764">
        <f t="shared" si="78"/>
        <v>-242.04331279024063</v>
      </c>
      <c r="H54" s="764"/>
      <c r="I54" s="764">
        <f t="shared" si="78"/>
        <v>0</v>
      </c>
      <c r="J54" s="764">
        <f t="shared" si="78"/>
        <v>522.49862494886827</v>
      </c>
      <c r="K54" s="764">
        <f t="shared" si="78"/>
        <v>522.49862494886827</v>
      </c>
      <c r="L54" s="764">
        <f t="shared" si="78"/>
        <v>0</v>
      </c>
      <c r="M54" s="764">
        <f t="shared" si="78"/>
        <v>0</v>
      </c>
      <c r="N54" s="765"/>
      <c r="O54" s="763">
        <f t="shared" ref="O54:P54" si="79">SUM(O41:O53)</f>
        <v>0</v>
      </c>
      <c r="P54" s="764">
        <f t="shared" si="79"/>
        <v>0</v>
      </c>
      <c r="Q54" s="764"/>
      <c r="R54" s="764">
        <f t="shared" ref="R54:V54" si="80">SUM(R41:R53)</f>
        <v>0</v>
      </c>
      <c r="S54" s="764">
        <f t="shared" si="80"/>
        <v>0</v>
      </c>
      <c r="T54" s="764">
        <f t="shared" si="80"/>
        <v>0</v>
      </c>
      <c r="U54" s="764">
        <f t="shared" si="80"/>
        <v>0</v>
      </c>
      <c r="V54" s="764">
        <f t="shared" si="80"/>
        <v>0</v>
      </c>
      <c r="W54" s="765"/>
      <c r="X54" s="763">
        <f t="shared" ref="X54:Y54" si="81">SUM(X41:X53)</f>
        <v>0</v>
      </c>
      <c r="Y54" s="764">
        <f t="shared" si="81"/>
        <v>0</v>
      </c>
      <c r="Z54" s="764"/>
      <c r="AA54" s="764">
        <f t="shared" ref="AA54:AE54" si="82">SUM(AA41:AA53)</f>
        <v>0</v>
      </c>
      <c r="AB54" s="764">
        <f t="shared" si="82"/>
        <v>0</v>
      </c>
      <c r="AC54" s="764">
        <f t="shared" si="82"/>
        <v>0</v>
      </c>
      <c r="AD54" s="764">
        <f t="shared" si="82"/>
        <v>0</v>
      </c>
      <c r="AE54" s="764">
        <f t="shared" si="82"/>
        <v>0</v>
      </c>
      <c r="AF54" s="765"/>
    </row>
    <row r="55" spans="1:32">
      <c r="B55" s="664"/>
      <c r="F55" s="449"/>
      <c r="G55" s="449"/>
      <c r="H55" s="449"/>
      <c r="I55" s="449"/>
      <c r="J55" s="449"/>
      <c r="K55" s="449"/>
      <c r="L55" s="449"/>
      <c r="M55" s="449"/>
      <c r="N55" s="449"/>
      <c r="O55" s="618"/>
      <c r="P55" s="794"/>
      <c r="Q55" s="618"/>
      <c r="R55" s="794"/>
      <c r="S55" s="794"/>
      <c r="T55" s="794"/>
      <c r="U55" s="794"/>
      <c r="V55" s="794"/>
      <c r="W55" s="794"/>
      <c r="X55" s="618"/>
      <c r="Y55" s="794"/>
      <c r="Z55" s="664"/>
      <c r="AA55" s="664"/>
      <c r="AB55" s="664"/>
      <c r="AC55" s="664"/>
      <c r="AD55" s="664"/>
      <c r="AE55" s="664"/>
      <c r="AF55" s="664"/>
    </row>
    <row r="56" spans="1:32">
      <c r="B56" s="664"/>
      <c r="O56" s="664"/>
      <c r="P56" s="664"/>
      <c r="Q56" s="664"/>
      <c r="R56" s="664"/>
      <c r="S56" s="664"/>
      <c r="T56" s="664"/>
      <c r="U56" s="664"/>
      <c r="V56" s="664"/>
      <c r="W56" s="664"/>
      <c r="X56" s="664"/>
      <c r="Y56" s="664"/>
      <c r="Z56" s="664"/>
      <c r="AA56" s="664"/>
      <c r="AB56" s="664"/>
      <c r="AC56" s="664"/>
      <c r="AD56" s="664"/>
      <c r="AE56" s="664"/>
      <c r="AF56" s="664"/>
    </row>
    <row r="57" spans="1:32">
      <c r="A57" s="766" t="s">
        <v>1025</v>
      </c>
      <c r="B57" s="664" t="s">
        <v>1026</v>
      </c>
      <c r="O57" s="664"/>
      <c r="P57" s="664"/>
      <c r="Q57" s="664"/>
      <c r="R57" s="664"/>
      <c r="S57" s="664"/>
      <c r="T57" s="664"/>
      <c r="U57" s="664"/>
      <c r="V57" s="664"/>
      <c r="W57" s="664"/>
      <c r="X57" s="664"/>
      <c r="Y57" s="664"/>
      <c r="Z57" s="664"/>
      <c r="AA57" s="664"/>
      <c r="AB57" s="664"/>
      <c r="AC57" s="664"/>
      <c r="AD57" s="664"/>
      <c r="AE57" s="664"/>
      <c r="AF57" s="664"/>
    </row>
    <row r="58" spans="1:32">
      <c r="A58" s="766" t="s">
        <v>1027</v>
      </c>
      <c r="B58" s="664" t="s">
        <v>1028</v>
      </c>
      <c r="D58" s="675"/>
      <c r="E58" s="675"/>
      <c r="F58" s="675"/>
      <c r="G58" s="675"/>
      <c r="H58" s="675"/>
      <c r="I58" s="675"/>
      <c r="J58" s="675"/>
      <c r="K58" s="675"/>
      <c r="L58" s="675"/>
      <c r="M58" s="675"/>
      <c r="N58" s="675"/>
      <c r="O58" s="664"/>
      <c r="P58" s="664"/>
      <c r="Q58" s="664"/>
      <c r="R58" s="664"/>
      <c r="S58" s="664"/>
      <c r="T58" s="664"/>
      <c r="U58" s="664"/>
      <c r="V58" s="664"/>
      <c r="W58" s="664"/>
      <c r="X58" s="664"/>
      <c r="Y58" s="664"/>
      <c r="Z58" s="664"/>
      <c r="AA58" s="664"/>
      <c r="AB58" s="664"/>
      <c r="AC58" s="664"/>
      <c r="AD58" s="664"/>
      <c r="AE58" s="664"/>
      <c r="AF58" s="664"/>
    </row>
    <row r="59" spans="1:32">
      <c r="A59" s="767" t="s">
        <v>75</v>
      </c>
      <c r="B59" s="664" t="s">
        <v>1029</v>
      </c>
      <c r="D59" s="675"/>
      <c r="E59" s="675"/>
      <c r="F59" s="675"/>
      <c r="G59" s="675"/>
      <c r="H59" s="675"/>
      <c r="I59" s="675"/>
      <c r="J59" s="675"/>
      <c r="K59" s="675"/>
      <c r="L59" s="675"/>
      <c r="M59" s="675"/>
      <c r="N59" s="675"/>
      <c r="O59" s="664"/>
      <c r="P59" s="664"/>
      <c r="Q59" s="664"/>
      <c r="R59" s="664"/>
      <c r="S59" s="664"/>
      <c r="T59" s="664"/>
      <c r="U59" s="664"/>
      <c r="V59" s="664"/>
      <c r="W59" s="664"/>
      <c r="X59" s="664"/>
      <c r="Y59" s="664"/>
      <c r="Z59" s="664"/>
      <c r="AA59" s="664"/>
      <c r="AB59" s="664"/>
      <c r="AC59" s="664"/>
      <c r="AD59" s="664"/>
      <c r="AE59" s="664"/>
      <c r="AF59" s="664"/>
    </row>
    <row r="60" spans="1:32">
      <c r="A60" s="767" t="s">
        <v>76</v>
      </c>
      <c r="B60" s="664" t="s">
        <v>1030</v>
      </c>
      <c r="D60" s="675"/>
      <c r="E60" s="675"/>
      <c r="F60" s="675"/>
      <c r="G60" s="675"/>
      <c r="H60" s="675"/>
      <c r="I60" s="675"/>
      <c r="J60" s="675"/>
      <c r="K60" s="675"/>
      <c r="L60" s="675"/>
      <c r="M60" s="675"/>
      <c r="N60" s="675"/>
      <c r="O60" s="664"/>
      <c r="P60" s="664"/>
      <c r="Q60" s="664"/>
      <c r="R60" s="664"/>
      <c r="S60" s="664"/>
      <c r="T60" s="664"/>
      <c r="U60" s="664"/>
      <c r="V60" s="664"/>
      <c r="W60" s="664"/>
      <c r="X60" s="664"/>
      <c r="Y60" s="664"/>
      <c r="Z60" s="664"/>
      <c r="AA60" s="664"/>
      <c r="AB60" s="664"/>
      <c r="AC60" s="664"/>
      <c r="AD60" s="664"/>
      <c r="AE60" s="664"/>
      <c r="AF60" s="664"/>
    </row>
    <row r="61" spans="1:32">
      <c r="A61" s="767" t="s">
        <v>77</v>
      </c>
      <c r="B61" s="670" t="s">
        <v>1031</v>
      </c>
      <c r="D61" s="666"/>
      <c r="E61" s="666"/>
      <c r="O61" s="664"/>
      <c r="P61" s="664"/>
      <c r="Q61" s="664"/>
      <c r="R61" s="664"/>
      <c r="S61" s="664"/>
      <c r="T61" s="664"/>
      <c r="U61" s="664"/>
      <c r="V61" s="664"/>
      <c r="W61" s="664"/>
      <c r="X61" s="664"/>
      <c r="Y61" s="664"/>
      <c r="Z61" s="664"/>
      <c r="AA61" s="664"/>
      <c r="AB61" s="664"/>
      <c r="AC61" s="664"/>
      <c r="AD61" s="664"/>
      <c r="AE61" s="664"/>
      <c r="AF61" s="664"/>
    </row>
    <row r="62" spans="1:32">
      <c r="D62" s="449"/>
      <c r="E62" s="449"/>
    </row>
    <row r="63" spans="1:32">
      <c r="D63" s="449"/>
      <c r="E63" s="449"/>
    </row>
    <row r="64" spans="1:32">
      <c r="D64" s="449"/>
      <c r="E64" s="449"/>
    </row>
    <row r="65" spans="2:24">
      <c r="D65" s="449"/>
      <c r="E65" s="449"/>
    </row>
    <row r="66" spans="2:24">
      <c r="D66" s="449"/>
      <c r="E66" s="449"/>
      <c r="O66" s="789"/>
      <c r="P66" s="789"/>
      <c r="Q66" s="789"/>
      <c r="R66" s="789"/>
      <c r="S66" s="789"/>
      <c r="T66" s="789"/>
      <c r="U66" s="789"/>
      <c r="V66" s="789"/>
      <c r="W66" s="789"/>
      <c r="X66" s="789"/>
    </row>
    <row r="67" spans="2:24">
      <c r="D67" s="449"/>
      <c r="E67" s="449"/>
    </row>
    <row r="68" spans="2:24">
      <c r="D68" s="449"/>
      <c r="E68" s="449"/>
    </row>
    <row r="69" spans="2:24">
      <c r="D69" s="449"/>
      <c r="E69" s="449"/>
    </row>
    <row r="70" spans="2:24">
      <c r="D70" s="449"/>
      <c r="E70" s="449"/>
    </row>
    <row r="71" spans="2:24">
      <c r="D71" s="449"/>
      <c r="E71" s="449"/>
    </row>
    <row r="72" spans="2:24">
      <c r="B72" s="664"/>
      <c r="D72" s="449"/>
      <c r="E72" s="449"/>
    </row>
    <row r="73" spans="2:24">
      <c r="D73" s="449"/>
      <c r="E73" s="449"/>
    </row>
    <row r="74" spans="2:24">
      <c r="B74" s="664"/>
      <c r="D74" s="449"/>
      <c r="E74" s="449"/>
    </row>
  </sheetData>
  <mergeCells count="6">
    <mergeCell ref="X5:AF5"/>
    <mergeCell ref="A1:N1"/>
    <mergeCell ref="A2:N2"/>
    <mergeCell ref="A3:N3"/>
    <mergeCell ref="F5:N5"/>
    <mergeCell ref="O5:W5"/>
  </mergeCells>
  <printOptions horizontalCentered="1"/>
  <pageMargins left="0.25" right="0.25" top="0.5" bottom="0.5" header="0.3" footer="0.3"/>
  <pageSetup scale="57" fitToWidth="3" orientation="landscape" cellComments="asDisplayed" r:id="rId1"/>
  <headerFooter alignWithMargins="0"/>
  <colBreaks count="1" manualBreakCount="1">
    <brk id="14" max="1048575" man="1"/>
  </colBreaks>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O95"/>
  <sheetViews>
    <sheetView zoomScaleNormal="100" workbookViewId="0"/>
  </sheetViews>
  <sheetFormatPr defaultColWidth="14" defaultRowHeight="13"/>
  <cols>
    <col min="1" max="1" width="5.765625" style="116" bestFit="1" customWidth="1"/>
    <col min="2" max="2" width="20.84375" style="15" customWidth="1"/>
    <col min="3" max="3" width="14.3046875" style="15" customWidth="1"/>
    <col min="4" max="4" width="16.3046875" style="15" customWidth="1"/>
    <col min="5" max="5" width="10.3046875" style="15" customWidth="1"/>
    <col min="6" max="6" width="10.84375" style="15" customWidth="1"/>
    <col min="7" max="7" width="10" style="15" customWidth="1"/>
    <col min="8" max="8" width="12.4609375" style="15" bestFit="1" customWidth="1"/>
    <col min="9" max="9" width="12.4609375" style="15" customWidth="1"/>
    <col min="10" max="10" width="13.69140625" style="15" bestFit="1" customWidth="1"/>
    <col min="11" max="11" width="12.53515625" style="15" bestFit="1" customWidth="1"/>
    <col min="12" max="12" width="13.23046875" style="15" customWidth="1"/>
    <col min="13" max="13" width="12.765625" style="15" customWidth="1"/>
    <col min="14" max="14" width="14" style="15"/>
    <col min="15" max="15" width="10" style="15" bestFit="1" customWidth="1"/>
    <col min="16" max="16384" width="14" style="15"/>
  </cols>
  <sheetData>
    <row r="1" spans="1:15">
      <c r="G1" s="20" t="s">
        <v>284</v>
      </c>
      <c r="M1" s="299" t="s">
        <v>945</v>
      </c>
    </row>
    <row r="2" spans="1:15" ht="15" customHeight="1">
      <c r="G2" s="298" t="s">
        <v>754</v>
      </c>
    </row>
    <row r="3" spans="1:15">
      <c r="D3" s="30"/>
      <c r="E3" s="30"/>
      <c r="F3" s="30"/>
      <c r="G3" s="139" t="str">
        <f>+'Attachment H'!D5</f>
        <v>Gridliance High Plains LLC</v>
      </c>
      <c r="H3" s="30"/>
      <c r="J3" s="30"/>
      <c r="K3" s="30"/>
      <c r="L3" s="30"/>
      <c r="M3" s="30"/>
      <c r="N3" s="30"/>
    </row>
    <row r="4" spans="1:15">
      <c r="B4" s="28"/>
    </row>
    <row r="6" spans="1:15" s="128" customFormat="1" ht="69.75" customHeight="1">
      <c r="A6" s="376" t="s">
        <v>239</v>
      </c>
      <c r="B6" s="127" t="s">
        <v>252</v>
      </c>
      <c r="C6" s="127" t="s">
        <v>458</v>
      </c>
      <c r="D6" s="127" t="s">
        <v>394</v>
      </c>
      <c r="E6" s="127" t="s">
        <v>395</v>
      </c>
      <c r="F6" s="127" t="s">
        <v>459</v>
      </c>
      <c r="G6" s="127" t="s">
        <v>375</v>
      </c>
      <c r="H6" s="127" t="s">
        <v>260</v>
      </c>
      <c r="I6" s="127" t="s">
        <v>261</v>
      </c>
      <c r="J6" s="127" t="s">
        <v>379</v>
      </c>
      <c r="K6" s="127" t="s">
        <v>460</v>
      </c>
      <c r="L6" s="343" t="s">
        <v>590</v>
      </c>
      <c r="M6" s="127" t="s">
        <v>461</v>
      </c>
      <c r="O6" s="412"/>
    </row>
    <row r="7" spans="1:15" s="128" customFormat="1">
      <c r="A7" s="376"/>
      <c r="B7" s="127"/>
      <c r="C7" s="121" t="s">
        <v>292</v>
      </c>
      <c r="D7" s="341" t="s">
        <v>293</v>
      </c>
      <c r="E7" s="341" t="s">
        <v>294</v>
      </c>
      <c r="F7" s="342" t="s">
        <v>295</v>
      </c>
      <c r="G7" s="342" t="s">
        <v>297</v>
      </c>
      <c r="H7" s="342" t="s">
        <v>296</v>
      </c>
      <c r="I7" s="343" t="s">
        <v>298</v>
      </c>
      <c r="J7" s="343" t="s">
        <v>299</v>
      </c>
      <c r="K7" s="343" t="s">
        <v>300</v>
      </c>
      <c r="L7" s="298" t="s">
        <v>393</v>
      </c>
      <c r="M7" s="298" t="s">
        <v>397</v>
      </c>
      <c r="O7" s="412"/>
    </row>
    <row r="8" spans="1:15" ht="25.5" customHeight="1">
      <c r="A8" s="345"/>
      <c r="B8" s="131" t="s">
        <v>595</v>
      </c>
      <c r="C8" s="121">
        <v>1</v>
      </c>
      <c r="D8" s="121">
        <v>2</v>
      </c>
      <c r="E8" s="121">
        <v>3</v>
      </c>
      <c r="F8" s="121">
        <v>4</v>
      </c>
      <c r="G8" s="121">
        <v>5</v>
      </c>
      <c r="H8" s="121">
        <v>6</v>
      </c>
      <c r="I8" s="121">
        <v>7</v>
      </c>
      <c r="J8" s="121">
        <v>9</v>
      </c>
      <c r="K8" s="121">
        <v>11</v>
      </c>
      <c r="L8" s="121">
        <v>12</v>
      </c>
      <c r="M8" s="121">
        <v>16</v>
      </c>
      <c r="O8" s="413"/>
    </row>
    <row r="9" spans="1:15" s="17" customFormat="1" ht="24.75" customHeight="1">
      <c r="A9" s="345"/>
      <c r="B9" s="123" t="s">
        <v>755</v>
      </c>
      <c r="C9" s="298" t="s">
        <v>756</v>
      </c>
      <c r="D9" s="298" t="s">
        <v>757</v>
      </c>
      <c r="E9" s="298" t="s">
        <v>758</v>
      </c>
      <c r="F9" s="298" t="s">
        <v>759</v>
      </c>
      <c r="G9" s="554" t="s">
        <v>760</v>
      </c>
      <c r="H9" s="554" t="str">
        <f>+G9</f>
        <v>(Note E)</v>
      </c>
      <c r="I9" s="554" t="str">
        <f>+H9</f>
        <v>(Note E)</v>
      </c>
      <c r="J9" s="554" t="s">
        <v>761</v>
      </c>
      <c r="K9" s="554" t="s">
        <v>762</v>
      </c>
      <c r="L9" s="554" t="s">
        <v>763</v>
      </c>
      <c r="M9" s="298" t="s">
        <v>764</v>
      </c>
    </row>
    <row r="10" spans="1:15" s="17" customFormat="1">
      <c r="A10" s="345"/>
      <c r="B10" s="123"/>
    </row>
    <row r="11" spans="1:15">
      <c r="A11" s="345"/>
      <c r="B11" s="129"/>
      <c r="C11" s="121"/>
      <c r="D11" s="121"/>
      <c r="E11" s="121"/>
      <c r="F11" s="121"/>
      <c r="G11" s="121"/>
      <c r="H11" s="121"/>
      <c r="I11" s="121"/>
      <c r="J11" s="121"/>
      <c r="K11" s="121"/>
      <c r="L11" s="121"/>
      <c r="M11" s="121"/>
      <c r="O11" s="413"/>
    </row>
    <row r="12" spans="1:15">
      <c r="A12" s="345" t="s">
        <v>381</v>
      </c>
      <c r="B12" s="120" t="s">
        <v>105</v>
      </c>
      <c r="C12" s="522">
        <v>28499.211214486626</v>
      </c>
      <c r="D12" s="344">
        <v>0</v>
      </c>
      <c r="E12" s="344">
        <v>0</v>
      </c>
      <c r="F12" s="521">
        <v>35660.060024056926</v>
      </c>
      <c r="G12" s="344">
        <v>0</v>
      </c>
      <c r="H12" s="344">
        <v>0</v>
      </c>
      <c r="I12" s="344">
        <v>0</v>
      </c>
      <c r="J12" s="344">
        <v>0</v>
      </c>
      <c r="K12" s="344">
        <v>0</v>
      </c>
      <c r="L12" s="344">
        <v>0</v>
      </c>
      <c r="M12" s="783">
        <v>33086.852996104921</v>
      </c>
      <c r="O12" s="414"/>
    </row>
    <row r="13" spans="1:15">
      <c r="A13" s="345" t="s">
        <v>250</v>
      </c>
      <c r="B13" s="120" t="s">
        <v>104</v>
      </c>
      <c r="C13" s="522">
        <v>27936.279982951866</v>
      </c>
      <c r="D13" s="344">
        <v>0</v>
      </c>
      <c r="E13" s="344">
        <v>0</v>
      </c>
      <c r="F13" s="521">
        <v>35157.058235828415</v>
      </c>
      <c r="G13" s="344">
        <v>0</v>
      </c>
      <c r="H13" s="344">
        <v>0</v>
      </c>
      <c r="I13" s="344">
        <v>0</v>
      </c>
      <c r="J13" s="344">
        <v>0</v>
      </c>
      <c r="K13" s="344">
        <v>0</v>
      </c>
      <c r="L13" s="344">
        <v>0</v>
      </c>
      <c r="M13" s="783">
        <v>33086.852996104921</v>
      </c>
      <c r="O13" s="414"/>
    </row>
    <row r="14" spans="1:15">
      <c r="A14" s="345" t="s">
        <v>382</v>
      </c>
      <c r="B14" s="120" t="s">
        <v>103</v>
      </c>
      <c r="C14" s="522">
        <v>28724.317388700187</v>
      </c>
      <c r="D14" s="344">
        <v>0</v>
      </c>
      <c r="E14" s="344">
        <v>0</v>
      </c>
      <c r="F14" s="521">
        <v>36099.438960712709</v>
      </c>
      <c r="G14" s="344">
        <v>0</v>
      </c>
      <c r="H14" s="344">
        <v>0</v>
      </c>
      <c r="I14" s="344">
        <v>0</v>
      </c>
      <c r="J14" s="344">
        <v>0</v>
      </c>
      <c r="K14" s="344">
        <v>0</v>
      </c>
      <c r="L14" s="344">
        <v>0</v>
      </c>
      <c r="M14" s="783">
        <v>33086.852996104921</v>
      </c>
      <c r="O14" s="414"/>
    </row>
    <row r="15" spans="1:15">
      <c r="A15" s="345" t="s">
        <v>380</v>
      </c>
      <c r="B15" s="120" t="s">
        <v>95</v>
      </c>
      <c r="C15" s="522">
        <v>28639.891615663262</v>
      </c>
      <c r="D15" s="344">
        <v>0</v>
      </c>
      <c r="E15" s="344">
        <v>0</v>
      </c>
      <c r="F15" s="521">
        <v>35601.377942780244</v>
      </c>
      <c r="G15" s="344">
        <v>0</v>
      </c>
      <c r="H15" s="344">
        <v>0</v>
      </c>
      <c r="I15" s="344">
        <v>0</v>
      </c>
      <c r="J15" s="344">
        <v>0</v>
      </c>
      <c r="K15" s="344">
        <v>0</v>
      </c>
      <c r="L15" s="344">
        <v>0</v>
      </c>
      <c r="M15" s="783">
        <v>33086.852996104921</v>
      </c>
      <c r="O15" s="414"/>
    </row>
    <row r="16" spans="1:15">
      <c r="A16" s="345" t="s">
        <v>216</v>
      </c>
      <c r="B16" s="120" t="s">
        <v>92</v>
      </c>
      <c r="C16" s="522">
        <v>28334.562490187778</v>
      </c>
      <c r="D16" s="344">
        <v>0</v>
      </c>
      <c r="E16" s="344">
        <v>0</v>
      </c>
      <c r="F16" s="521">
        <v>35437.995892584004</v>
      </c>
      <c r="G16" s="344">
        <v>0</v>
      </c>
      <c r="H16" s="344">
        <v>0</v>
      </c>
      <c r="I16" s="344">
        <v>0</v>
      </c>
      <c r="J16" s="344">
        <v>0</v>
      </c>
      <c r="K16" s="344">
        <v>0</v>
      </c>
      <c r="L16" s="344">
        <v>0</v>
      </c>
      <c r="M16" s="783">
        <v>33086.852996104921</v>
      </c>
      <c r="O16" s="414"/>
    </row>
    <row r="17" spans="1:15">
      <c r="A17" s="345" t="s">
        <v>217</v>
      </c>
      <c r="B17" s="120" t="s">
        <v>145</v>
      </c>
      <c r="C17" s="522">
        <v>28638.132607365838</v>
      </c>
      <c r="D17" s="344">
        <v>0</v>
      </c>
      <c r="E17" s="344">
        <v>0</v>
      </c>
      <c r="F17" s="521">
        <v>35968.710411494139</v>
      </c>
      <c r="G17" s="344">
        <v>0</v>
      </c>
      <c r="H17" s="344">
        <v>0</v>
      </c>
      <c r="I17" s="344">
        <v>0</v>
      </c>
      <c r="J17" s="344">
        <v>0</v>
      </c>
      <c r="K17" s="344">
        <v>0</v>
      </c>
      <c r="L17" s="344">
        <v>0</v>
      </c>
      <c r="M17" s="783">
        <v>33086.852996104921</v>
      </c>
      <c r="O17" s="414"/>
    </row>
    <row r="18" spans="1:15">
      <c r="A18" s="345" t="s">
        <v>220</v>
      </c>
      <c r="B18" s="120" t="s">
        <v>102</v>
      </c>
      <c r="C18" s="522">
        <v>28931.745521299068</v>
      </c>
      <c r="D18" s="344">
        <v>0</v>
      </c>
      <c r="E18" s="344">
        <v>0</v>
      </c>
      <c r="F18" s="521">
        <v>35834.897877282201</v>
      </c>
      <c r="G18" s="344">
        <v>0</v>
      </c>
      <c r="H18" s="344">
        <v>0</v>
      </c>
      <c r="I18" s="344">
        <v>0</v>
      </c>
      <c r="J18" s="344">
        <v>0</v>
      </c>
      <c r="K18" s="344">
        <v>0</v>
      </c>
      <c r="L18" s="344">
        <v>0</v>
      </c>
      <c r="M18" s="783">
        <v>33086.852996104921</v>
      </c>
      <c r="O18" s="414"/>
    </row>
    <row r="19" spans="1:15">
      <c r="A19" s="345" t="s">
        <v>222</v>
      </c>
      <c r="B19" s="120" t="s">
        <v>101</v>
      </c>
      <c r="C19" s="522">
        <v>28304.927720407006</v>
      </c>
      <c r="D19" s="344">
        <v>0</v>
      </c>
      <c r="E19" s="344">
        <v>0</v>
      </c>
      <c r="F19" s="521">
        <v>35295.671608828132</v>
      </c>
      <c r="G19" s="344">
        <v>0</v>
      </c>
      <c r="H19" s="344">
        <v>0</v>
      </c>
      <c r="I19" s="344">
        <v>0</v>
      </c>
      <c r="J19" s="344">
        <v>0</v>
      </c>
      <c r="K19" s="344">
        <v>0</v>
      </c>
      <c r="L19" s="344">
        <v>0</v>
      </c>
      <c r="M19" s="783">
        <v>33086.852996104921</v>
      </c>
      <c r="O19" s="414"/>
    </row>
    <row r="20" spans="1:15">
      <c r="A20" s="345" t="s">
        <v>225</v>
      </c>
      <c r="B20" s="120" t="s">
        <v>100</v>
      </c>
      <c r="C20" s="522">
        <v>28623.164040101885</v>
      </c>
      <c r="D20" s="344">
        <v>0</v>
      </c>
      <c r="E20" s="344">
        <v>0</v>
      </c>
      <c r="F20" s="521">
        <v>35936.954361216296</v>
      </c>
      <c r="G20" s="344">
        <v>0</v>
      </c>
      <c r="H20" s="344">
        <v>0</v>
      </c>
      <c r="I20" s="344">
        <v>0</v>
      </c>
      <c r="J20" s="344">
        <v>0</v>
      </c>
      <c r="K20" s="344">
        <v>0</v>
      </c>
      <c r="L20" s="344">
        <v>0</v>
      </c>
      <c r="M20" s="783">
        <v>33086.852996104921</v>
      </c>
      <c r="O20" s="414"/>
    </row>
    <row r="21" spans="1:15">
      <c r="A21" s="345" t="s">
        <v>228</v>
      </c>
      <c r="B21" s="120" t="s">
        <v>106</v>
      </c>
      <c r="C21" s="522">
        <v>28613.95963877652</v>
      </c>
      <c r="D21" s="344">
        <v>0</v>
      </c>
      <c r="E21" s="344">
        <v>0</v>
      </c>
      <c r="F21" s="521">
        <v>35579.801518216664</v>
      </c>
      <c r="G21" s="344">
        <v>0</v>
      </c>
      <c r="H21" s="344">
        <v>0</v>
      </c>
      <c r="I21" s="344">
        <v>0</v>
      </c>
      <c r="J21" s="344">
        <v>0</v>
      </c>
      <c r="K21" s="344">
        <v>0</v>
      </c>
      <c r="L21" s="344">
        <v>0</v>
      </c>
      <c r="M21" s="783">
        <v>33086.852996104921</v>
      </c>
      <c r="O21" s="414"/>
    </row>
    <row r="22" spans="1:15">
      <c r="A22" s="345" t="s">
        <v>229</v>
      </c>
      <c r="B22" s="120" t="s">
        <v>99</v>
      </c>
      <c r="C22" s="522">
        <v>28311.33980144154</v>
      </c>
      <c r="D22" s="344">
        <v>0</v>
      </c>
      <c r="E22" s="344">
        <v>0</v>
      </c>
      <c r="F22" s="521">
        <v>35695.150621693756</v>
      </c>
      <c r="G22" s="344">
        <v>0</v>
      </c>
      <c r="H22" s="344">
        <v>0</v>
      </c>
      <c r="I22" s="344">
        <v>0</v>
      </c>
      <c r="J22" s="344">
        <v>0</v>
      </c>
      <c r="K22" s="344">
        <v>0</v>
      </c>
      <c r="L22" s="344">
        <v>0</v>
      </c>
      <c r="M22" s="783">
        <v>33086.852996104921</v>
      </c>
      <c r="O22" s="414"/>
    </row>
    <row r="23" spans="1:15">
      <c r="A23" s="345" t="s">
        <v>231</v>
      </c>
      <c r="B23" s="120" t="s">
        <v>98</v>
      </c>
      <c r="C23" s="522">
        <v>28883.333142701485</v>
      </c>
      <c r="D23" s="344">
        <v>0</v>
      </c>
      <c r="E23" s="344">
        <v>0</v>
      </c>
      <c r="F23" s="521">
        <v>36478.337315875309</v>
      </c>
      <c r="G23" s="344">
        <v>0</v>
      </c>
      <c r="H23" s="344">
        <v>0</v>
      </c>
      <c r="I23" s="344">
        <v>0</v>
      </c>
      <c r="J23" s="344">
        <v>0</v>
      </c>
      <c r="K23" s="344">
        <v>0</v>
      </c>
      <c r="L23" s="344">
        <v>0</v>
      </c>
      <c r="M23" s="783">
        <v>33086.855155777208</v>
      </c>
      <c r="O23" s="414"/>
    </row>
    <row r="24" spans="1:15">
      <c r="A24" s="345" t="s">
        <v>233</v>
      </c>
      <c r="B24" s="122" t="s">
        <v>21</v>
      </c>
      <c r="C24" s="523">
        <f t="shared" ref="C24:M24" si="0">SUM(C12:C23)</f>
        <v>342440.86516408302</v>
      </c>
      <c r="D24" s="126">
        <f t="shared" si="0"/>
        <v>0</v>
      </c>
      <c r="E24" s="126">
        <f t="shared" si="0"/>
        <v>0</v>
      </c>
      <c r="F24" s="126">
        <f t="shared" si="0"/>
        <v>428745.45477056876</v>
      </c>
      <c r="G24" s="126">
        <f t="shared" si="0"/>
        <v>0</v>
      </c>
      <c r="H24" s="126">
        <f t="shared" si="0"/>
        <v>0</v>
      </c>
      <c r="I24" s="126">
        <f t="shared" si="0"/>
        <v>0</v>
      </c>
      <c r="J24" s="126">
        <f t="shared" si="0"/>
        <v>0</v>
      </c>
      <c r="K24" s="126">
        <f t="shared" si="0"/>
        <v>0</v>
      </c>
      <c r="L24" s="126">
        <f t="shared" si="0"/>
        <v>0</v>
      </c>
      <c r="M24" s="126">
        <f t="shared" si="0"/>
        <v>397042.23811293131</v>
      </c>
      <c r="O24" s="415"/>
    </row>
    <row r="25" spans="1:15">
      <c r="A25" s="345"/>
      <c r="B25" s="120"/>
      <c r="C25" s="120"/>
      <c r="D25" s="120"/>
      <c r="E25" s="120"/>
      <c r="F25" s="120"/>
      <c r="G25" s="120"/>
      <c r="H25" s="120"/>
      <c r="I25" s="120"/>
      <c r="J25" s="120"/>
      <c r="N25" s="272"/>
      <c r="O25" s="130"/>
    </row>
    <row r="26" spans="1:15">
      <c r="A26" s="345"/>
      <c r="B26" s="120"/>
      <c r="C26" s="120"/>
      <c r="D26" s="120"/>
      <c r="E26" s="120"/>
      <c r="F26" s="120"/>
      <c r="G26" s="120"/>
      <c r="H26" s="120"/>
      <c r="I26" s="120"/>
      <c r="J26" s="120"/>
      <c r="N26" s="870"/>
      <c r="O26" s="130"/>
    </row>
    <row r="27" spans="1:15" ht="39">
      <c r="A27" s="345"/>
      <c r="C27" s="128" t="s">
        <v>462</v>
      </c>
      <c r="D27" s="128" t="s">
        <v>396</v>
      </c>
      <c r="E27" s="127" t="s">
        <v>463</v>
      </c>
      <c r="F27" s="128" t="s">
        <v>376</v>
      </c>
      <c r="G27" s="127" t="s">
        <v>464</v>
      </c>
      <c r="H27" s="127" t="s">
        <v>377</v>
      </c>
      <c r="I27" s="127" t="s">
        <v>465</v>
      </c>
      <c r="J27" s="127" t="s">
        <v>378</v>
      </c>
      <c r="K27" s="127" t="s">
        <v>263</v>
      </c>
      <c r="L27" s="127" t="s">
        <v>988</v>
      </c>
      <c r="M27" s="127" t="s">
        <v>469</v>
      </c>
      <c r="N27" s="871"/>
    </row>
    <row r="28" spans="1:15">
      <c r="A28" s="345"/>
      <c r="C28" s="121" t="s">
        <v>292</v>
      </c>
      <c r="D28" s="341" t="s">
        <v>293</v>
      </c>
      <c r="E28" s="341" t="s">
        <v>294</v>
      </c>
      <c r="F28" s="342" t="s">
        <v>295</v>
      </c>
      <c r="G28" s="342" t="s">
        <v>297</v>
      </c>
      <c r="H28" s="342" t="s">
        <v>296</v>
      </c>
      <c r="I28" s="342" t="s">
        <v>298</v>
      </c>
      <c r="J28" s="343" t="s">
        <v>299</v>
      </c>
      <c r="K28" s="343" t="s">
        <v>300</v>
      </c>
      <c r="L28" s="298" t="s">
        <v>393</v>
      </c>
      <c r="M28" s="298" t="s">
        <v>397</v>
      </c>
      <c r="N28" s="120"/>
    </row>
    <row r="29" spans="1:15" ht="26">
      <c r="A29" s="345"/>
      <c r="B29" s="131" t="s">
        <v>506</v>
      </c>
      <c r="C29" s="121">
        <v>17</v>
      </c>
      <c r="D29" s="345">
        <v>19</v>
      </c>
      <c r="E29" s="121">
        <v>23</v>
      </c>
      <c r="F29" s="121">
        <v>24</v>
      </c>
      <c r="G29" s="121">
        <v>26</v>
      </c>
      <c r="H29" s="121">
        <v>27</v>
      </c>
      <c r="I29" s="121">
        <v>28</v>
      </c>
      <c r="J29" s="121">
        <v>29</v>
      </c>
      <c r="K29" s="123">
        <v>37</v>
      </c>
      <c r="L29" s="121">
        <v>38</v>
      </c>
      <c r="M29" s="121">
        <v>39</v>
      </c>
      <c r="N29" s="120"/>
    </row>
    <row r="30" spans="1:15" ht="26">
      <c r="A30" s="345"/>
      <c r="B30" s="123" t="s">
        <v>755</v>
      </c>
      <c r="C30" s="554" t="s">
        <v>768</v>
      </c>
      <c r="D30" s="298" t="s">
        <v>765</v>
      </c>
      <c r="E30" s="298" t="s">
        <v>892</v>
      </c>
      <c r="F30" s="298" t="str">
        <f>+E30</f>
        <v>263.i</v>
      </c>
      <c r="G30" s="298" t="str">
        <f>+F30</f>
        <v>263.i</v>
      </c>
      <c r="H30" s="298" t="str">
        <f>+G30</f>
        <v>263.i</v>
      </c>
      <c r="I30" s="298" t="str">
        <f>+H30</f>
        <v>263.i</v>
      </c>
      <c r="J30" s="298" t="str">
        <f>+I30</f>
        <v>263.i</v>
      </c>
      <c r="K30" s="298" t="s">
        <v>766</v>
      </c>
      <c r="L30" s="298" t="s">
        <v>369</v>
      </c>
      <c r="M30" s="298" t="s">
        <v>767</v>
      </c>
      <c r="N30" s="120"/>
    </row>
    <row r="31" spans="1:15" s="17" customFormat="1">
      <c r="A31" s="345"/>
      <c r="B31" s="123"/>
      <c r="N31" s="298"/>
    </row>
    <row r="32" spans="1:15">
      <c r="A32" s="345"/>
      <c r="C32" s="121"/>
      <c r="E32" s="121"/>
      <c r="F32" s="121"/>
      <c r="G32" s="121"/>
      <c r="H32" s="121"/>
      <c r="I32" s="121"/>
      <c r="J32" s="121"/>
      <c r="K32" s="121"/>
      <c r="L32" s="121"/>
      <c r="M32" s="121"/>
      <c r="N32" s="120"/>
    </row>
    <row r="33" spans="1:15">
      <c r="A33" s="345" t="s">
        <v>236</v>
      </c>
      <c r="B33" s="120" t="s">
        <v>105</v>
      </c>
      <c r="C33" s="521">
        <v>13.408435662516169</v>
      </c>
      <c r="D33" s="344">
        <v>0</v>
      </c>
      <c r="E33" s="344">
        <v>0</v>
      </c>
      <c r="F33" s="344">
        <v>0</v>
      </c>
      <c r="G33" s="521">
        <v>22900.154336166212</v>
      </c>
      <c r="H33" s="344">
        <v>0</v>
      </c>
      <c r="I33" s="344">
        <v>0</v>
      </c>
      <c r="J33" s="344">
        <v>0</v>
      </c>
      <c r="K33" s="344">
        <v>0</v>
      </c>
      <c r="L33" s="521">
        <f>-'GLHP Excess Deferreds'!D7/12</f>
        <v>33.890613381546039</v>
      </c>
      <c r="M33" s="783">
        <f>'GLHP Taxes'!K69/12</f>
        <v>114.65287380181194</v>
      </c>
      <c r="N33" s="120"/>
    </row>
    <row r="34" spans="1:15">
      <c r="A34" s="345" t="s">
        <v>264</v>
      </c>
      <c r="B34" s="120" t="s">
        <v>104</v>
      </c>
      <c r="C34" s="521">
        <v>13.408435662515943</v>
      </c>
      <c r="D34" s="344">
        <v>0</v>
      </c>
      <c r="E34" s="344">
        <v>0</v>
      </c>
      <c r="F34" s="344">
        <v>0</v>
      </c>
      <c r="G34" s="521">
        <v>22900.154336166212</v>
      </c>
      <c r="H34" s="344">
        <v>0</v>
      </c>
      <c r="I34" s="344">
        <v>0</v>
      </c>
      <c r="J34" s="344">
        <v>0</v>
      </c>
      <c r="K34" s="344">
        <v>0</v>
      </c>
      <c r="L34" s="521">
        <f>L33</f>
        <v>33.890613381546039</v>
      </c>
      <c r="M34" s="783">
        <f>M33</f>
        <v>114.65287380181194</v>
      </c>
      <c r="N34" s="120"/>
    </row>
    <row r="35" spans="1:15">
      <c r="A35" s="345" t="s">
        <v>265</v>
      </c>
      <c r="B35" s="120" t="s">
        <v>103</v>
      </c>
      <c r="C35" s="521">
        <v>13.408435662515943</v>
      </c>
      <c r="D35" s="344">
        <v>0</v>
      </c>
      <c r="E35" s="344">
        <v>0</v>
      </c>
      <c r="F35" s="344">
        <v>0</v>
      </c>
      <c r="G35" s="521">
        <v>22900.154336166212</v>
      </c>
      <c r="H35" s="344">
        <v>0</v>
      </c>
      <c r="I35" s="344">
        <v>0</v>
      </c>
      <c r="J35" s="344">
        <v>0</v>
      </c>
      <c r="K35" s="344">
        <v>0</v>
      </c>
      <c r="L35" s="521">
        <f t="shared" ref="L35:L44" si="1">L34</f>
        <v>33.890613381546039</v>
      </c>
      <c r="M35" s="783">
        <f t="shared" ref="M35:M44" si="2">M34</f>
        <v>114.65287380181194</v>
      </c>
      <c r="N35" s="120"/>
    </row>
    <row r="36" spans="1:15">
      <c r="A36" s="345" t="s">
        <v>383</v>
      </c>
      <c r="B36" s="120" t="s">
        <v>95</v>
      </c>
      <c r="C36" s="521">
        <v>13.408435662516169</v>
      </c>
      <c r="D36" s="344">
        <v>0</v>
      </c>
      <c r="E36" s="344">
        <v>0</v>
      </c>
      <c r="F36" s="344">
        <v>0</v>
      </c>
      <c r="G36" s="521">
        <v>22900.154336166212</v>
      </c>
      <c r="H36" s="344">
        <v>0</v>
      </c>
      <c r="I36" s="344">
        <v>0</v>
      </c>
      <c r="J36" s="344">
        <v>0</v>
      </c>
      <c r="K36" s="344">
        <v>0</v>
      </c>
      <c r="L36" s="521">
        <f t="shared" si="1"/>
        <v>33.890613381546039</v>
      </c>
      <c r="M36" s="783">
        <f t="shared" si="2"/>
        <v>114.65287380181194</v>
      </c>
      <c r="N36" s="120"/>
    </row>
    <row r="37" spans="1:15">
      <c r="A37" s="345" t="s">
        <v>384</v>
      </c>
      <c r="B37" s="120" t="s">
        <v>92</v>
      </c>
      <c r="C37" s="521">
        <v>13.408435662515943</v>
      </c>
      <c r="D37" s="344">
        <v>0</v>
      </c>
      <c r="E37" s="344">
        <v>0</v>
      </c>
      <c r="F37" s="344">
        <v>0</v>
      </c>
      <c r="G37" s="521">
        <v>22900.154336166212</v>
      </c>
      <c r="H37" s="344">
        <v>0</v>
      </c>
      <c r="I37" s="344">
        <v>0</v>
      </c>
      <c r="J37" s="344">
        <v>0</v>
      </c>
      <c r="K37" s="344">
        <v>0</v>
      </c>
      <c r="L37" s="521">
        <f t="shared" si="1"/>
        <v>33.890613381546039</v>
      </c>
      <c r="M37" s="783">
        <f t="shared" si="2"/>
        <v>114.65287380181194</v>
      </c>
      <c r="N37" s="120"/>
    </row>
    <row r="38" spans="1:15">
      <c r="A38" s="345" t="s">
        <v>385</v>
      </c>
      <c r="B38" s="120" t="s">
        <v>145</v>
      </c>
      <c r="C38" s="521">
        <v>13.408435662515943</v>
      </c>
      <c r="D38" s="344">
        <v>0</v>
      </c>
      <c r="E38" s="344">
        <v>0</v>
      </c>
      <c r="F38" s="344">
        <v>0</v>
      </c>
      <c r="G38" s="521">
        <v>22900.154336166212</v>
      </c>
      <c r="H38" s="344">
        <v>0</v>
      </c>
      <c r="I38" s="344">
        <v>0</v>
      </c>
      <c r="J38" s="344">
        <v>0</v>
      </c>
      <c r="K38" s="344">
        <v>0</v>
      </c>
      <c r="L38" s="521">
        <f t="shared" si="1"/>
        <v>33.890613381546039</v>
      </c>
      <c r="M38" s="783">
        <f t="shared" si="2"/>
        <v>114.65287380181194</v>
      </c>
      <c r="N38" s="120"/>
    </row>
    <row r="39" spans="1:15">
      <c r="A39" s="345" t="s">
        <v>386</v>
      </c>
      <c r="B39" s="120" t="s">
        <v>102</v>
      </c>
      <c r="C39" s="521">
        <v>13.408435662516169</v>
      </c>
      <c r="D39" s="344">
        <v>0</v>
      </c>
      <c r="E39" s="344">
        <v>0</v>
      </c>
      <c r="F39" s="344">
        <v>0</v>
      </c>
      <c r="G39" s="521">
        <v>22900.154336166212</v>
      </c>
      <c r="H39" s="344">
        <v>0</v>
      </c>
      <c r="I39" s="344">
        <v>0</v>
      </c>
      <c r="J39" s="344">
        <v>0</v>
      </c>
      <c r="K39" s="344">
        <v>0</v>
      </c>
      <c r="L39" s="521">
        <f t="shared" si="1"/>
        <v>33.890613381546039</v>
      </c>
      <c r="M39" s="783">
        <f t="shared" si="2"/>
        <v>114.65287380181194</v>
      </c>
      <c r="N39" s="120"/>
    </row>
    <row r="40" spans="1:15">
      <c r="A40" s="345" t="s">
        <v>387</v>
      </c>
      <c r="B40" s="120" t="s">
        <v>101</v>
      </c>
      <c r="C40" s="521">
        <v>13.408435662515943</v>
      </c>
      <c r="D40" s="344">
        <v>0</v>
      </c>
      <c r="E40" s="344">
        <v>0</v>
      </c>
      <c r="F40" s="344">
        <v>0</v>
      </c>
      <c r="G40" s="521">
        <v>22900.154336166212</v>
      </c>
      <c r="H40" s="344">
        <v>0</v>
      </c>
      <c r="I40" s="344">
        <v>0</v>
      </c>
      <c r="J40" s="344">
        <v>0</v>
      </c>
      <c r="K40" s="344">
        <v>0</v>
      </c>
      <c r="L40" s="521">
        <f t="shared" si="1"/>
        <v>33.890613381546039</v>
      </c>
      <c r="M40" s="783">
        <f t="shared" si="2"/>
        <v>114.65287380181194</v>
      </c>
      <c r="N40" s="120"/>
    </row>
    <row r="41" spans="1:15">
      <c r="A41" s="345" t="s">
        <v>388</v>
      </c>
      <c r="B41" s="120" t="s">
        <v>100</v>
      </c>
      <c r="C41" s="521">
        <v>13.408435662515943</v>
      </c>
      <c r="D41" s="344">
        <v>0</v>
      </c>
      <c r="E41" s="344">
        <v>0</v>
      </c>
      <c r="F41" s="344">
        <v>0</v>
      </c>
      <c r="G41" s="521">
        <v>22900.154336166212</v>
      </c>
      <c r="H41" s="344">
        <v>0</v>
      </c>
      <c r="I41" s="344">
        <v>0</v>
      </c>
      <c r="J41" s="344">
        <v>0</v>
      </c>
      <c r="K41" s="344">
        <v>0</v>
      </c>
      <c r="L41" s="521">
        <f t="shared" si="1"/>
        <v>33.890613381546039</v>
      </c>
      <c r="M41" s="783">
        <f t="shared" si="2"/>
        <v>114.65287380181194</v>
      </c>
      <c r="N41" s="120"/>
    </row>
    <row r="42" spans="1:15">
      <c r="A42" s="345" t="s">
        <v>389</v>
      </c>
      <c r="B42" s="120" t="s">
        <v>106</v>
      </c>
      <c r="C42" s="521">
        <v>13.408435662515718</v>
      </c>
      <c r="D42" s="344">
        <v>0</v>
      </c>
      <c r="E42" s="344">
        <v>0</v>
      </c>
      <c r="F42" s="344">
        <v>0</v>
      </c>
      <c r="G42" s="521">
        <v>22900.154336166212</v>
      </c>
      <c r="H42" s="344">
        <v>0</v>
      </c>
      <c r="I42" s="344">
        <v>0</v>
      </c>
      <c r="J42" s="344">
        <v>0</v>
      </c>
      <c r="K42" s="344">
        <v>0</v>
      </c>
      <c r="L42" s="521">
        <f t="shared" si="1"/>
        <v>33.890613381546039</v>
      </c>
      <c r="M42" s="783">
        <f t="shared" si="2"/>
        <v>114.65287380181194</v>
      </c>
      <c r="N42" s="120"/>
    </row>
    <row r="43" spans="1:15">
      <c r="A43" s="345" t="s">
        <v>390</v>
      </c>
      <c r="B43" s="120" t="s">
        <v>99</v>
      </c>
      <c r="C43" s="521">
        <v>13.408435662515943</v>
      </c>
      <c r="D43" s="344">
        <v>0</v>
      </c>
      <c r="E43" s="344">
        <v>0</v>
      </c>
      <c r="F43" s="344">
        <v>0</v>
      </c>
      <c r="G43" s="521">
        <v>22900.154336166212</v>
      </c>
      <c r="H43" s="344">
        <v>0</v>
      </c>
      <c r="I43" s="344">
        <v>0</v>
      </c>
      <c r="J43" s="344">
        <v>0</v>
      </c>
      <c r="K43" s="344">
        <v>0</v>
      </c>
      <c r="L43" s="521">
        <f t="shared" si="1"/>
        <v>33.890613381546039</v>
      </c>
      <c r="M43" s="783">
        <f t="shared" si="2"/>
        <v>114.65287380181194</v>
      </c>
      <c r="N43" s="120"/>
    </row>
    <row r="44" spans="1:15">
      <c r="A44" s="345" t="s">
        <v>391</v>
      </c>
      <c r="B44" s="120" t="s">
        <v>98</v>
      </c>
      <c r="C44" s="521">
        <v>13.114396020142378</v>
      </c>
      <c r="D44" s="344">
        <v>0</v>
      </c>
      <c r="E44" s="344">
        <v>0</v>
      </c>
      <c r="F44" s="344">
        <v>0</v>
      </c>
      <c r="G44" s="521">
        <v>22900.154336166212</v>
      </c>
      <c r="H44" s="344">
        <v>0</v>
      </c>
      <c r="I44" s="344">
        <v>0</v>
      </c>
      <c r="J44" s="344">
        <v>0</v>
      </c>
      <c r="K44" s="344">
        <v>0</v>
      </c>
      <c r="L44" s="521">
        <f t="shared" si="1"/>
        <v>33.890613381546039</v>
      </c>
      <c r="M44" s="783">
        <f t="shared" si="2"/>
        <v>114.65287380181194</v>
      </c>
      <c r="N44" s="120"/>
    </row>
    <row r="45" spans="1:15">
      <c r="A45" s="345" t="s">
        <v>392</v>
      </c>
      <c r="B45" s="122" t="s">
        <v>21</v>
      </c>
      <c r="C45" s="126">
        <f t="shared" ref="C45:M45" si="3">SUM(C33:C44)</f>
        <v>160.60718830781821</v>
      </c>
      <c r="D45" s="126">
        <f t="shared" si="3"/>
        <v>0</v>
      </c>
      <c r="E45" s="126">
        <f t="shared" si="3"/>
        <v>0</v>
      </c>
      <c r="F45" s="126">
        <f t="shared" si="3"/>
        <v>0</v>
      </c>
      <c r="G45" s="126">
        <f t="shared" si="3"/>
        <v>274801.85203399457</v>
      </c>
      <c r="H45" s="126">
        <f t="shared" si="3"/>
        <v>0</v>
      </c>
      <c r="I45" s="126">
        <f t="shared" si="3"/>
        <v>0</v>
      </c>
      <c r="J45" s="126">
        <f t="shared" si="3"/>
        <v>0</v>
      </c>
      <c r="K45" s="126">
        <f t="shared" si="3"/>
        <v>0</v>
      </c>
      <c r="L45" s="126">
        <f t="shared" si="3"/>
        <v>406.68736057855239</v>
      </c>
      <c r="M45" s="126">
        <f t="shared" si="3"/>
        <v>1375.8344856217429</v>
      </c>
      <c r="N45" s="120"/>
    </row>
    <row r="46" spans="1:15">
      <c r="B46" s="120"/>
      <c r="C46" s="120"/>
      <c r="D46" s="120"/>
      <c r="E46" s="120"/>
      <c r="F46" s="120"/>
      <c r="G46" s="121" t="s">
        <v>284</v>
      </c>
      <c r="H46" s="120"/>
      <c r="I46" s="120"/>
      <c r="J46" s="120"/>
      <c r="M46" s="299" t="s">
        <v>238</v>
      </c>
      <c r="N46" s="120"/>
      <c r="O46" s="130"/>
    </row>
    <row r="47" spans="1:15">
      <c r="B47" s="120"/>
      <c r="C47" s="120"/>
      <c r="D47" s="120"/>
      <c r="E47" s="120"/>
      <c r="F47" s="120"/>
      <c r="G47" s="121" t="s">
        <v>754</v>
      </c>
      <c r="H47" s="120"/>
      <c r="I47" s="120"/>
      <c r="J47" s="120"/>
      <c r="N47" s="120"/>
      <c r="O47" s="130"/>
    </row>
    <row r="48" spans="1:15">
      <c r="B48" s="120"/>
      <c r="C48" s="120"/>
      <c r="D48" s="120"/>
      <c r="E48" s="120"/>
      <c r="F48" s="120"/>
      <c r="G48" s="121" t="s">
        <v>860</v>
      </c>
      <c r="H48" s="120"/>
      <c r="I48" s="120"/>
      <c r="J48" s="120"/>
      <c r="N48" s="120"/>
      <c r="O48" s="130"/>
    </row>
    <row r="49" spans="1:15">
      <c r="B49" s="120"/>
      <c r="C49" s="120"/>
      <c r="D49" s="120"/>
      <c r="E49" s="120"/>
      <c r="F49" s="120"/>
      <c r="G49" s="120"/>
      <c r="H49" s="120"/>
      <c r="I49" s="120"/>
      <c r="J49" s="120"/>
      <c r="N49" s="120"/>
      <c r="O49" s="130"/>
    </row>
    <row r="50" spans="1:15">
      <c r="B50" s="120"/>
      <c r="C50" s="120"/>
      <c r="D50" s="120"/>
      <c r="E50" s="120"/>
      <c r="F50" s="120"/>
      <c r="G50" s="120"/>
      <c r="H50" s="120"/>
      <c r="I50" s="120"/>
      <c r="J50" s="120"/>
      <c r="N50" s="120"/>
      <c r="O50" s="130"/>
    </row>
    <row r="51" spans="1:15" ht="129" customHeight="1">
      <c r="B51" s="555"/>
      <c r="C51" s="556" t="s">
        <v>0</v>
      </c>
      <c r="D51" s="866" t="s">
        <v>315</v>
      </c>
      <c r="E51" s="866" t="s">
        <v>474</v>
      </c>
      <c r="F51" s="557" t="s">
        <v>475</v>
      </c>
      <c r="G51" s="558" t="s">
        <v>273</v>
      </c>
      <c r="H51" s="120"/>
      <c r="I51" s="120"/>
      <c r="J51" s="120"/>
      <c r="N51" s="120"/>
      <c r="O51" s="120"/>
    </row>
    <row r="52" spans="1:15">
      <c r="C52" s="121" t="s">
        <v>292</v>
      </c>
      <c r="D52" s="341" t="s">
        <v>293</v>
      </c>
      <c r="E52" s="341" t="s">
        <v>294</v>
      </c>
      <c r="F52" s="342" t="s">
        <v>295</v>
      </c>
      <c r="G52" s="342" t="s">
        <v>297</v>
      </c>
      <c r="H52" s="120"/>
      <c r="I52" s="120"/>
      <c r="J52" s="120"/>
      <c r="N52" s="120"/>
      <c r="O52" s="120"/>
    </row>
    <row r="53" spans="1:15" ht="26">
      <c r="B53" s="131" t="s">
        <v>596</v>
      </c>
      <c r="C53" s="121">
        <v>27</v>
      </c>
      <c r="D53" s="345" t="s">
        <v>476</v>
      </c>
      <c r="E53" s="121">
        <v>31</v>
      </c>
      <c r="F53" s="121">
        <v>32</v>
      </c>
      <c r="G53" s="123" t="s">
        <v>572</v>
      </c>
      <c r="H53" s="121"/>
      <c r="I53" s="121"/>
      <c r="J53" s="120"/>
    </row>
    <row r="54" spans="1:15" ht="26">
      <c r="B54" s="123"/>
      <c r="C54" s="554" t="s">
        <v>769</v>
      </c>
      <c r="D54" s="298" t="s">
        <v>770</v>
      </c>
      <c r="E54" s="12" t="s">
        <v>771</v>
      </c>
      <c r="F54" s="15" t="str">
        <f>+E54</f>
        <v>Portion of Account 456.1</v>
      </c>
      <c r="H54" s="121"/>
      <c r="L54" s="121"/>
      <c r="M54" s="121"/>
    </row>
    <row r="55" spans="1:15">
      <c r="C55" s="121"/>
      <c r="E55" s="121"/>
      <c r="F55" s="121"/>
      <c r="G55" s="121"/>
      <c r="H55" s="121"/>
      <c r="I55" s="33"/>
      <c r="L55" s="121"/>
      <c r="M55" s="121"/>
    </row>
    <row r="56" spans="1:15">
      <c r="A56" s="358">
        <f>+A42+1</f>
        <v>24</v>
      </c>
      <c r="B56" s="120" t="s">
        <v>105</v>
      </c>
      <c r="C56" s="344">
        <v>0</v>
      </c>
      <c r="D56" s="344">
        <v>0</v>
      </c>
      <c r="E56" s="521">
        <v>7496.1399999999994</v>
      </c>
      <c r="F56" s="344">
        <v>0</v>
      </c>
      <c r="G56" s="344">
        <v>0</v>
      </c>
      <c r="H56" s="121"/>
      <c r="I56" s="33"/>
      <c r="L56" s="120"/>
      <c r="M56" s="120"/>
    </row>
    <row r="57" spans="1:15">
      <c r="A57" s="358">
        <f t="shared" ref="A57:A88" si="4">+A56+1</f>
        <v>25</v>
      </c>
      <c r="B57" s="120" t="s">
        <v>104</v>
      </c>
      <c r="C57" s="344">
        <v>0</v>
      </c>
      <c r="D57" s="344">
        <v>0</v>
      </c>
      <c r="E57" s="521">
        <v>6279.619999999999</v>
      </c>
      <c r="F57" s="344">
        <v>0</v>
      </c>
      <c r="G57" s="344">
        <v>0</v>
      </c>
      <c r="H57" s="121"/>
      <c r="L57" s="120"/>
      <c r="M57" s="120"/>
    </row>
    <row r="58" spans="1:15">
      <c r="A58" s="358">
        <f t="shared" si="4"/>
        <v>26</v>
      </c>
      <c r="B58" s="120" t="s">
        <v>103</v>
      </c>
      <c r="C58" s="344">
        <v>0</v>
      </c>
      <c r="D58" s="344">
        <v>0</v>
      </c>
      <c r="E58" s="521">
        <v>5254.2999999999993</v>
      </c>
      <c r="F58" s="344">
        <v>0</v>
      </c>
      <c r="G58" s="344">
        <v>0</v>
      </c>
      <c r="H58" s="121"/>
      <c r="I58" s="33"/>
      <c r="L58" s="120"/>
      <c r="M58" s="120"/>
    </row>
    <row r="59" spans="1:15">
      <c r="A59" s="358">
        <f t="shared" si="4"/>
        <v>27</v>
      </c>
      <c r="B59" s="120" t="s">
        <v>95</v>
      </c>
      <c r="C59" s="344">
        <v>0</v>
      </c>
      <c r="D59" s="344">
        <v>0</v>
      </c>
      <c r="E59" s="521">
        <v>5235.33</v>
      </c>
      <c r="F59" s="344">
        <v>0</v>
      </c>
      <c r="G59" s="344">
        <v>0</v>
      </c>
      <c r="H59" s="121"/>
      <c r="I59" s="27"/>
      <c r="L59" s="120"/>
      <c r="M59" s="120"/>
    </row>
    <row r="60" spans="1:15">
      <c r="A60" s="358">
        <f t="shared" si="4"/>
        <v>28</v>
      </c>
      <c r="B60" s="120" t="s">
        <v>92</v>
      </c>
      <c r="C60" s="344">
        <v>0</v>
      </c>
      <c r="D60" s="344">
        <v>0</v>
      </c>
      <c r="E60" s="521">
        <v>5138.6000000000004</v>
      </c>
      <c r="F60" s="344">
        <v>0</v>
      </c>
      <c r="G60" s="344">
        <v>0</v>
      </c>
      <c r="H60" s="121"/>
      <c r="L60" s="120"/>
      <c r="M60" s="120"/>
    </row>
    <row r="61" spans="1:15">
      <c r="A61" s="358">
        <f t="shared" si="4"/>
        <v>29</v>
      </c>
      <c r="B61" s="120" t="s">
        <v>145</v>
      </c>
      <c r="C61" s="344">
        <v>0</v>
      </c>
      <c r="D61" s="344">
        <v>0</v>
      </c>
      <c r="E61" s="521">
        <v>7056.46</v>
      </c>
      <c r="F61" s="344">
        <v>0</v>
      </c>
      <c r="G61" s="344">
        <v>0</v>
      </c>
      <c r="H61" s="121"/>
      <c r="L61" s="120"/>
      <c r="M61" s="120"/>
    </row>
    <row r="62" spans="1:15">
      <c r="A62" s="358">
        <f t="shared" si="4"/>
        <v>30</v>
      </c>
      <c r="B62" s="120" t="s">
        <v>102</v>
      </c>
      <c r="C62" s="344">
        <v>0</v>
      </c>
      <c r="D62" s="344">
        <v>0</v>
      </c>
      <c r="E62" s="521">
        <v>6631.57</v>
      </c>
      <c r="F62" s="344">
        <v>0</v>
      </c>
      <c r="G62" s="344">
        <v>0</v>
      </c>
      <c r="H62" s="121"/>
      <c r="L62" s="120"/>
      <c r="M62" s="120"/>
    </row>
    <row r="63" spans="1:15">
      <c r="A63" s="358">
        <f t="shared" si="4"/>
        <v>31</v>
      </c>
      <c r="B63" s="120" t="s">
        <v>101</v>
      </c>
      <c r="C63" s="344">
        <v>0</v>
      </c>
      <c r="D63" s="344">
        <v>0</v>
      </c>
      <c r="E63" s="521">
        <v>7089.51</v>
      </c>
      <c r="F63" s="344">
        <v>0</v>
      </c>
      <c r="G63" s="344">
        <v>0</v>
      </c>
      <c r="H63" s="121"/>
      <c r="L63" s="120"/>
      <c r="M63" s="120"/>
    </row>
    <row r="64" spans="1:15">
      <c r="A64" s="358">
        <f t="shared" si="4"/>
        <v>32</v>
      </c>
      <c r="B64" s="120" t="s">
        <v>100</v>
      </c>
      <c r="C64" s="344">
        <v>0</v>
      </c>
      <c r="D64" s="344">
        <v>0</v>
      </c>
      <c r="E64" s="521">
        <v>5788.91</v>
      </c>
      <c r="F64" s="344">
        <v>0</v>
      </c>
      <c r="G64" s="344">
        <v>0</v>
      </c>
      <c r="H64" s="121"/>
      <c r="L64" s="120"/>
      <c r="M64" s="120"/>
    </row>
    <row r="65" spans="1:15">
      <c r="A65" s="358">
        <f t="shared" si="4"/>
        <v>33</v>
      </c>
      <c r="B65" s="120" t="s">
        <v>106</v>
      </c>
      <c r="C65" s="344">
        <v>0</v>
      </c>
      <c r="D65" s="344">
        <v>0</v>
      </c>
      <c r="E65" s="521">
        <v>5869.87</v>
      </c>
      <c r="F65" s="344">
        <v>0</v>
      </c>
      <c r="G65" s="344">
        <v>0</v>
      </c>
      <c r="H65" s="121"/>
      <c r="L65" s="120"/>
      <c r="M65" s="120"/>
    </row>
    <row r="66" spans="1:15">
      <c r="A66" s="358">
        <f t="shared" si="4"/>
        <v>34</v>
      </c>
      <c r="B66" s="120" t="s">
        <v>99</v>
      </c>
      <c r="C66" s="344">
        <v>0</v>
      </c>
      <c r="D66" s="344">
        <v>0</v>
      </c>
      <c r="E66" s="521">
        <v>4882.8899999999994</v>
      </c>
      <c r="F66" s="344">
        <v>0</v>
      </c>
      <c r="G66" s="344">
        <v>0</v>
      </c>
      <c r="H66" s="121"/>
      <c r="L66" s="120"/>
      <c r="M66" s="120"/>
    </row>
    <row r="67" spans="1:15">
      <c r="A67" s="358">
        <f t="shared" si="4"/>
        <v>35</v>
      </c>
      <c r="B67" s="120" t="s">
        <v>98</v>
      </c>
      <c r="C67" s="344">
        <v>0</v>
      </c>
      <c r="D67" s="344">
        <v>0</v>
      </c>
      <c r="E67" s="521">
        <v>4548.2699999999995</v>
      </c>
      <c r="F67" s="344">
        <v>0</v>
      </c>
      <c r="G67" s="344">
        <v>0</v>
      </c>
      <c r="H67" s="121"/>
      <c r="L67" s="120"/>
      <c r="M67" s="120"/>
      <c r="O67" s="120"/>
    </row>
    <row r="68" spans="1:15">
      <c r="A68" s="358">
        <f t="shared" si="4"/>
        <v>36</v>
      </c>
      <c r="B68" s="122" t="s">
        <v>21</v>
      </c>
      <c r="C68" s="126">
        <f>SUM(C56:C67)</f>
        <v>0</v>
      </c>
      <c r="D68" s="126">
        <f>SUM(D56:D67)</f>
        <v>0</v>
      </c>
      <c r="E68" s="126">
        <f>SUM(E56:E67)</f>
        <v>71271.470000000016</v>
      </c>
      <c r="F68" s="126">
        <f>SUM(F56:F67)</f>
        <v>0</v>
      </c>
      <c r="G68" s="126">
        <f>SUM(G56:G67)</f>
        <v>0</v>
      </c>
      <c r="H68" s="120"/>
      <c r="I68" s="120"/>
      <c r="J68" s="120"/>
      <c r="N68" s="120"/>
      <c r="O68" s="120"/>
    </row>
    <row r="69" spans="1:15">
      <c r="A69" s="358">
        <f t="shared" si="4"/>
        <v>37</v>
      </c>
      <c r="B69" s="120"/>
      <c r="C69" s="120"/>
      <c r="D69" s="120"/>
      <c r="E69" s="120"/>
      <c r="F69" s="120"/>
      <c r="G69" s="120"/>
      <c r="H69" s="120"/>
      <c r="I69" s="120"/>
      <c r="J69" s="120"/>
      <c r="N69" s="120"/>
      <c r="O69" s="120"/>
    </row>
    <row r="70" spans="1:15">
      <c r="A70" s="358">
        <f t="shared" si="4"/>
        <v>38</v>
      </c>
      <c r="B70" s="27" t="s">
        <v>66</v>
      </c>
      <c r="C70" s="28"/>
      <c r="F70" s="28"/>
      <c r="G70" s="28"/>
      <c r="H70" s="28"/>
      <c r="I70" s="28"/>
      <c r="J70" s="28"/>
      <c r="K70" s="31"/>
      <c r="L70" s="28"/>
      <c r="N70" s="120"/>
      <c r="O70" s="120"/>
    </row>
    <row r="71" spans="1:15" ht="24" customHeight="1">
      <c r="A71" s="358"/>
      <c r="B71" s="27" t="s">
        <v>772</v>
      </c>
      <c r="C71" s="28"/>
      <c r="F71" s="28"/>
      <c r="G71" s="28"/>
      <c r="H71" s="28"/>
      <c r="I71" s="28"/>
      <c r="J71" s="28"/>
      <c r="K71" s="31"/>
      <c r="L71" s="28"/>
      <c r="N71" s="120"/>
      <c r="O71" s="120"/>
    </row>
    <row r="72" spans="1:15" ht="16" thickBot="1">
      <c r="A72" s="358"/>
      <c r="B72" s="27"/>
      <c r="C72" s="28"/>
      <c r="D72" s="389"/>
      <c r="E72" s="389"/>
      <c r="F72" s="389"/>
      <c r="G72" s="389"/>
      <c r="H72" s="389"/>
      <c r="I72" s="389"/>
      <c r="J72" s="390" t="s">
        <v>58</v>
      </c>
      <c r="K72" s="31"/>
      <c r="L72" s="28"/>
      <c r="N72" s="125"/>
      <c r="O72" s="125"/>
    </row>
    <row r="73" spans="1:15" ht="15.5">
      <c r="A73" s="358">
        <f>+A70+1</f>
        <v>39</v>
      </c>
      <c r="B73" s="27"/>
      <c r="C73" s="28"/>
      <c r="D73" s="389" t="s">
        <v>534</v>
      </c>
      <c r="E73" s="389"/>
      <c r="F73" s="389"/>
      <c r="G73" s="389"/>
      <c r="H73" s="389"/>
      <c r="I73" s="389"/>
      <c r="J73" s="784">
        <v>1460441.2383124256</v>
      </c>
      <c r="K73" s="31"/>
      <c r="N73" s="120"/>
      <c r="O73" s="120"/>
    </row>
    <row r="74" spans="1:15" ht="15.5">
      <c r="A74" s="358"/>
      <c r="B74" s="27"/>
      <c r="C74" s="28"/>
      <c r="D74" s="389"/>
      <c r="E74" s="389"/>
      <c r="F74" s="389"/>
      <c r="G74" s="389"/>
      <c r="H74" s="389"/>
      <c r="I74" s="389"/>
      <c r="J74" s="359"/>
      <c r="N74" s="120"/>
      <c r="O74" s="120"/>
    </row>
    <row r="75" spans="1:15" ht="15.5">
      <c r="A75" s="358">
        <f>+A73+1</f>
        <v>40</v>
      </c>
      <c r="B75" s="27"/>
      <c r="C75" s="28"/>
      <c r="D75" s="389" t="s">
        <v>535</v>
      </c>
      <c r="E75" s="389"/>
      <c r="F75" s="389"/>
      <c r="G75" s="389"/>
      <c r="H75" s="389"/>
      <c r="I75" s="389"/>
      <c r="J75" s="425">
        <v>0</v>
      </c>
      <c r="N75" s="120"/>
      <c r="O75" s="120"/>
    </row>
    <row r="76" spans="1:15" ht="15.5">
      <c r="A76" s="358"/>
      <c r="B76" s="27"/>
      <c r="C76" s="28"/>
      <c r="D76" s="389"/>
      <c r="E76" s="389"/>
      <c r="F76" s="389"/>
      <c r="G76" s="389"/>
      <c r="H76" s="389"/>
      <c r="I76" s="389"/>
      <c r="J76" s="359"/>
    </row>
    <row r="77" spans="1:15" ht="15.5">
      <c r="A77" s="358">
        <f>+A75+1</f>
        <v>41</v>
      </c>
      <c r="B77" s="27"/>
      <c r="C77" s="28"/>
      <c r="D77" s="389" t="s">
        <v>536</v>
      </c>
      <c r="E77" s="391"/>
      <c r="F77" s="389"/>
      <c r="G77" s="389"/>
      <c r="H77" s="389"/>
      <c r="I77" s="389"/>
      <c r="J77" s="425">
        <f>+'Attachment H'!D212</f>
        <v>76476833.491334647</v>
      </c>
    </row>
    <row r="78" spans="1:15" ht="15.5">
      <c r="A78" s="358">
        <f t="shared" si="4"/>
        <v>42</v>
      </c>
      <c r="B78" s="27"/>
      <c r="C78" s="28"/>
      <c r="D78" s="389" t="s">
        <v>976</v>
      </c>
      <c r="E78" s="389"/>
      <c r="F78" s="389"/>
      <c r="G78" s="389"/>
      <c r="H78" s="389"/>
      <c r="I78" s="389"/>
      <c r="J78" s="426">
        <v>0</v>
      </c>
    </row>
    <row r="79" spans="1:15" ht="16" thickBot="1">
      <c r="A79" s="358">
        <f t="shared" si="4"/>
        <v>43</v>
      </c>
      <c r="B79" s="27"/>
      <c r="C79" s="28"/>
      <c r="D79" s="389" t="s">
        <v>537</v>
      </c>
      <c r="E79" s="389"/>
      <c r="F79" s="389"/>
      <c r="G79" s="389"/>
      <c r="H79" s="389"/>
      <c r="I79" s="389"/>
      <c r="J79" s="427">
        <v>0</v>
      </c>
    </row>
    <row r="80" spans="1:15" ht="15.5">
      <c r="A80" s="358">
        <f t="shared" si="4"/>
        <v>44</v>
      </c>
      <c r="B80" s="27"/>
      <c r="C80" s="28"/>
      <c r="D80" s="389" t="s">
        <v>538</v>
      </c>
      <c r="E80" s="391" t="s">
        <v>893</v>
      </c>
      <c r="F80" s="391"/>
      <c r="G80" s="391"/>
      <c r="H80" s="392"/>
      <c r="I80" s="391"/>
      <c r="J80" s="359">
        <f>+J77-J78-J79</f>
        <v>76476833.491334647</v>
      </c>
    </row>
    <row r="81" spans="1:12">
      <c r="A81" s="358"/>
      <c r="B81" s="27"/>
      <c r="C81" s="28"/>
      <c r="J81" s="18"/>
    </row>
    <row r="82" spans="1:12">
      <c r="A82" s="358"/>
      <c r="B82" s="27"/>
      <c r="C82" s="28"/>
      <c r="F82" s="28"/>
      <c r="G82" s="28"/>
      <c r="H82" s="28"/>
      <c r="I82" s="28"/>
      <c r="J82" s="28"/>
      <c r="K82" s="31"/>
      <c r="L82" s="28"/>
    </row>
    <row r="83" spans="1:12">
      <c r="A83" s="358"/>
      <c r="B83" s="30"/>
      <c r="C83" s="28"/>
      <c r="F83" s="28"/>
      <c r="G83" s="28"/>
      <c r="H83" s="28"/>
      <c r="I83" s="31" t="s">
        <v>67</v>
      </c>
      <c r="J83" s="28"/>
      <c r="K83" s="28"/>
      <c r="L83" s="28"/>
    </row>
    <row r="84" spans="1:12" ht="13.5" thickBot="1">
      <c r="A84" s="358"/>
      <c r="B84" s="30"/>
      <c r="C84" s="28"/>
      <c r="F84" s="32" t="s">
        <v>58</v>
      </c>
      <c r="G84" s="32" t="s">
        <v>68</v>
      </c>
      <c r="H84" s="28"/>
      <c r="I84" s="156"/>
      <c r="J84" s="28"/>
      <c r="K84" s="32" t="s">
        <v>69</v>
      </c>
      <c r="L84" s="28"/>
    </row>
    <row r="85" spans="1:12">
      <c r="A85" s="358">
        <f>+A80+1</f>
        <v>45</v>
      </c>
      <c r="B85" s="27" t="s">
        <v>358</v>
      </c>
      <c r="C85" s="33" t="s">
        <v>599</v>
      </c>
      <c r="F85" s="207">
        <f>'Attachment H'!D210</f>
        <v>24340687.305207092</v>
      </c>
      <c r="G85" s="435">
        <f>'Attachment H'!E210</f>
        <v>0.4</v>
      </c>
      <c r="H85" s="26"/>
      <c r="I85" s="746">
        <f>IFERROR(J73/'Attachment H'!D210,0)</f>
        <v>0.06</v>
      </c>
      <c r="J85" s="26"/>
      <c r="K85" s="26">
        <f>G85*I85</f>
        <v>2.4E-2</v>
      </c>
      <c r="L85" s="206" t="s">
        <v>70</v>
      </c>
    </row>
    <row r="86" spans="1:12">
      <c r="A86" s="358">
        <f t="shared" si="4"/>
        <v>46</v>
      </c>
      <c r="B86" s="27" t="s">
        <v>193</v>
      </c>
      <c r="C86" s="33" t="s">
        <v>600</v>
      </c>
      <c r="F86" s="207">
        <f>'Attachment H'!D211</f>
        <v>0</v>
      </c>
      <c r="G86" s="435">
        <f>'Attachment H'!E211</f>
        <v>0</v>
      </c>
      <c r="H86" s="26"/>
      <c r="I86" s="142">
        <v>0</v>
      </c>
      <c r="J86" s="26"/>
      <c r="K86" s="26">
        <f>G86*I86</f>
        <v>0</v>
      </c>
      <c r="L86" s="28"/>
    </row>
    <row r="87" spans="1:12" ht="13.5" thickBot="1">
      <c r="A87" s="358">
        <f t="shared" si="4"/>
        <v>47</v>
      </c>
      <c r="B87" s="27" t="s">
        <v>466</v>
      </c>
      <c r="C87" s="33" t="s">
        <v>601</v>
      </c>
      <c r="F87" s="417">
        <f>'Attachment H'!D212</f>
        <v>76476833.491334647</v>
      </c>
      <c r="G87" s="435">
        <f>'Attachment H'!E212</f>
        <v>0.6</v>
      </c>
      <c r="H87" s="34"/>
      <c r="I87" s="559">
        <f>+'Attachment H'!G212</f>
        <v>0.10299999999999999</v>
      </c>
      <c r="J87" s="33"/>
      <c r="K87" s="42">
        <f>G87*I87</f>
        <v>6.1799999999999994E-2</v>
      </c>
      <c r="L87" s="28"/>
    </row>
    <row r="88" spans="1:12">
      <c r="A88" s="358">
        <f t="shared" si="4"/>
        <v>48</v>
      </c>
      <c r="B88" s="30" t="s">
        <v>346</v>
      </c>
      <c r="C88" s="33" t="s">
        <v>894</v>
      </c>
      <c r="F88" s="207">
        <f>SUM(F85:F87)</f>
        <v>100817520.79654174</v>
      </c>
      <c r="G88" s="26" t="s">
        <v>10</v>
      </c>
      <c r="H88" s="28"/>
      <c r="I88" s="28"/>
      <c r="J88" s="28"/>
      <c r="K88" s="26">
        <f>SUM(K85:K87)</f>
        <v>8.5799999999999987E-2</v>
      </c>
      <c r="L88" s="206" t="s">
        <v>71</v>
      </c>
    </row>
    <row r="89" spans="1:12">
      <c r="A89" s="358"/>
      <c r="G89" s="26"/>
    </row>
    <row r="90" spans="1:12">
      <c r="A90" s="15" t="s">
        <v>598</v>
      </c>
    </row>
    <row r="91" spans="1:12">
      <c r="A91" s="345" t="s">
        <v>75</v>
      </c>
      <c r="B91" s="15" t="s">
        <v>935</v>
      </c>
    </row>
    <row r="92" spans="1:12">
      <c r="A92" s="345" t="s">
        <v>76</v>
      </c>
      <c r="B92" s="15" t="s">
        <v>895</v>
      </c>
    </row>
    <row r="93" spans="1:12">
      <c r="A93" s="345" t="s">
        <v>77</v>
      </c>
      <c r="B93" s="15" t="s">
        <v>896</v>
      </c>
    </row>
    <row r="94" spans="1:12">
      <c r="A94" s="345"/>
    </row>
    <row r="95" spans="1:12">
      <c r="A95" s="345"/>
    </row>
  </sheetData>
  <customSheetViews>
    <customSheetView guid="{F04A2B9A-C6FE-4FEB-AD1E-2CF9AC309BE4}" fitToPage="1">
      <selection activeCell="G20" sqref="G20"/>
      <pageMargins left="0.7" right="0.7" top="0.75" bottom="0.75" header="0.3" footer="0.3"/>
      <pageSetup scale="76" orientation="landscape" r:id="rId1"/>
    </customSheetView>
  </customSheetViews>
  <phoneticPr fontId="0" type="noConversion"/>
  <pageMargins left="0.25" right="0.25" top="0.75" bottom="0.75" header="0.3" footer="0.3"/>
  <pageSetup scale="64" fitToHeight="2" orientation="landscape" r:id="rId2"/>
  <rowBreaks count="1" manualBreakCount="1">
    <brk id="45" max="16383" man="1"/>
  </rowBreaks>
  <customProperties>
    <customPr name="_pios_i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Q68"/>
  <sheetViews>
    <sheetView workbookViewId="0"/>
  </sheetViews>
  <sheetFormatPr defaultColWidth="8.84375" defaultRowHeight="13"/>
  <cols>
    <col min="1" max="1" width="4" style="15" customWidth="1"/>
    <col min="2" max="2" width="17.07421875" style="15" customWidth="1"/>
    <col min="3" max="3" width="12.07421875" style="15" customWidth="1"/>
    <col min="4" max="4" width="5.4609375" style="15" bestFit="1" customWidth="1"/>
    <col min="5" max="11" width="7.765625" style="15" customWidth="1"/>
    <col min="12" max="12" width="9.4609375" style="15" customWidth="1"/>
    <col min="13" max="13" width="7.765625" style="15" customWidth="1"/>
    <col min="14" max="14" width="9.53515625" style="15" customWidth="1"/>
    <col min="15" max="15" width="10.4609375" style="15" customWidth="1"/>
    <col min="16" max="16" width="11.765625" style="15" customWidth="1"/>
    <col min="17" max="17" width="10.69140625" style="15" bestFit="1" customWidth="1"/>
    <col min="18" max="16384" width="8.84375" style="15"/>
  </cols>
  <sheetData>
    <row r="1" spans="1:17">
      <c r="I1" s="20" t="s">
        <v>285</v>
      </c>
      <c r="Q1" s="299" t="s">
        <v>891</v>
      </c>
    </row>
    <row r="2" spans="1:17">
      <c r="I2" s="298" t="s">
        <v>778</v>
      </c>
    </row>
    <row r="3" spans="1:17">
      <c r="I3" s="139" t="str">
        <f>+'Attachment H'!D5</f>
        <v>Gridliance High Plains LLC</v>
      </c>
    </row>
    <row r="5" spans="1:17" ht="15.5">
      <c r="A5" s="405"/>
      <c r="B5" s="303"/>
      <c r="C5" s="300" t="s">
        <v>773</v>
      </c>
      <c r="D5" s="300"/>
      <c r="E5" s="991" t="s">
        <v>774</v>
      </c>
      <c r="F5" s="991"/>
      <c r="G5" s="301"/>
      <c r="H5" s="301"/>
    </row>
    <row r="6" spans="1:17" ht="15.5">
      <c r="A6" s="405">
        <v>1</v>
      </c>
      <c r="B6" s="301"/>
      <c r="C6" s="302" t="s">
        <v>556</v>
      </c>
      <c r="D6" s="875">
        <v>2024</v>
      </c>
      <c r="E6" s="869">
        <v>7.1000000000000004E-3</v>
      </c>
      <c r="F6" s="428"/>
      <c r="G6" s="428"/>
      <c r="H6" s="428"/>
    </row>
    <row r="7" spans="1:17" ht="15.5">
      <c r="A7" s="405">
        <v>2</v>
      </c>
      <c r="B7" s="301"/>
      <c r="C7" s="302" t="s">
        <v>1138</v>
      </c>
      <c r="D7" s="875">
        <v>2025</v>
      </c>
      <c r="E7" s="869">
        <v>6.7000000000000002E-3</v>
      </c>
      <c r="F7" s="428"/>
      <c r="G7" s="428"/>
      <c r="H7" s="428"/>
    </row>
    <row r="8" spans="1:17" ht="15.5">
      <c r="A8" s="405">
        <v>3</v>
      </c>
      <c r="B8" s="301"/>
      <c r="C8" s="302" t="s">
        <v>554</v>
      </c>
      <c r="D8" s="875">
        <v>2025</v>
      </c>
      <c r="E8" s="869">
        <v>6.3E-3</v>
      </c>
      <c r="F8" s="428"/>
      <c r="G8" s="428"/>
      <c r="H8" s="428"/>
    </row>
    <row r="9" spans="1:17" ht="15.5">
      <c r="A9" s="405">
        <v>4</v>
      </c>
      <c r="B9" s="301"/>
      <c r="C9" s="302" t="s">
        <v>555</v>
      </c>
      <c r="D9" s="875">
        <v>2025</v>
      </c>
      <c r="E9" s="869">
        <v>6.3E-3</v>
      </c>
      <c r="F9" s="428"/>
      <c r="G9" s="428"/>
      <c r="H9" s="428"/>
    </row>
    <row r="10" spans="1:17" ht="15.75" customHeight="1">
      <c r="A10" s="405">
        <v>5</v>
      </c>
      <c r="B10" s="301"/>
      <c r="C10" s="302" t="s">
        <v>556</v>
      </c>
      <c r="D10" s="875">
        <v>2025</v>
      </c>
      <c r="E10" s="869">
        <v>6.3E-3</v>
      </c>
      <c r="F10" s="428"/>
      <c r="G10" s="428"/>
      <c r="H10" s="428"/>
    </row>
    <row r="11" spans="1:17" ht="15.5">
      <c r="A11" s="405">
        <v>6</v>
      </c>
      <c r="B11" s="301"/>
      <c r="C11" s="302" t="s">
        <v>1138</v>
      </c>
      <c r="D11" s="875">
        <v>2026</v>
      </c>
      <c r="E11" s="869">
        <v>6.0000000000000001E-3</v>
      </c>
      <c r="F11" s="428"/>
      <c r="G11" s="428"/>
      <c r="H11" s="428"/>
    </row>
    <row r="12" spans="1:17" ht="15.5">
      <c r="A12" s="405">
        <v>7</v>
      </c>
      <c r="B12" s="301"/>
      <c r="C12" s="302" t="s">
        <v>554</v>
      </c>
      <c r="D12" s="875">
        <v>2026</v>
      </c>
      <c r="E12" s="869">
        <v>5.7000000000000002E-3</v>
      </c>
      <c r="F12" s="428"/>
      <c r="G12" s="428"/>
      <c r="H12" s="428"/>
    </row>
    <row r="13" spans="1:17" ht="15.5">
      <c r="A13" s="405"/>
      <c r="B13" s="301"/>
      <c r="C13" s="301"/>
      <c r="D13" s="428"/>
      <c r="E13" s="429"/>
      <c r="F13" s="428"/>
      <c r="G13" s="428"/>
      <c r="H13" s="428"/>
    </row>
    <row r="14" spans="1:17" ht="15.5">
      <c r="A14" s="405"/>
      <c r="B14" s="301"/>
      <c r="C14" s="302"/>
      <c r="D14" s="430"/>
      <c r="E14" s="430"/>
      <c r="F14" s="428"/>
      <c r="G14" s="428"/>
      <c r="H14" s="428"/>
    </row>
    <row r="15" spans="1:17" ht="15.5">
      <c r="A15" s="405">
        <v>8</v>
      </c>
      <c r="B15" s="406" t="s">
        <v>414</v>
      </c>
      <c r="C15" s="301"/>
      <c r="D15" s="430"/>
      <c r="E15" s="876">
        <f>AVERAGE(E6:E12)</f>
        <v>6.3428571428571423E-3</v>
      </c>
      <c r="F15" s="428"/>
      <c r="G15" s="428"/>
      <c r="H15" s="877">
        <f>+E15</f>
        <v>6.3428571428571423E-3</v>
      </c>
    </row>
    <row r="16" spans="1:17" ht="15.5">
      <c r="A16" s="301"/>
      <c r="B16" s="301"/>
      <c r="C16" s="301"/>
      <c r="D16" s="430"/>
      <c r="E16" s="430"/>
      <c r="F16" s="428"/>
      <c r="G16" s="428"/>
      <c r="H16" s="428"/>
    </row>
    <row r="17" spans="1:17" ht="15.5">
      <c r="A17" s="301" t="s">
        <v>775</v>
      </c>
      <c r="B17" s="301"/>
      <c r="C17" s="301"/>
      <c r="D17" s="301"/>
      <c r="E17" s="301"/>
      <c r="F17" s="301"/>
      <c r="G17" s="301"/>
      <c r="H17" s="301"/>
    </row>
    <row r="18" spans="1:17" ht="15.5">
      <c r="A18" s="301" t="s">
        <v>776</v>
      </c>
      <c r="B18" s="301"/>
      <c r="C18" s="301"/>
      <c r="D18" s="301"/>
      <c r="E18" s="301"/>
      <c r="F18" s="301"/>
      <c r="G18" s="301"/>
      <c r="H18" s="301"/>
    </row>
    <row r="19" spans="1:17" ht="15.5">
      <c r="A19" s="301" t="s">
        <v>777</v>
      </c>
      <c r="B19" s="301"/>
      <c r="C19" s="301"/>
      <c r="D19" s="301"/>
      <c r="E19" s="301"/>
      <c r="F19" s="301"/>
      <c r="G19" s="301"/>
      <c r="H19" s="301"/>
    </row>
    <row r="20" spans="1:17" ht="15.5">
      <c r="A20" s="301"/>
      <c r="B20" s="301"/>
      <c r="C20" s="301"/>
      <c r="D20" s="301"/>
      <c r="E20" s="301"/>
      <c r="F20" s="301"/>
      <c r="G20" s="301"/>
      <c r="H20" s="301"/>
    </row>
    <row r="21" spans="1:17" ht="15.5">
      <c r="A21" s="301"/>
      <c r="B21" s="301"/>
      <c r="C21" s="301"/>
      <c r="D21" s="301"/>
      <c r="E21" s="301"/>
      <c r="F21" s="301"/>
      <c r="G21" s="301"/>
      <c r="H21" s="301"/>
    </row>
    <row r="22" spans="1:17">
      <c r="A22" s="527"/>
      <c r="D22" s="989"/>
      <c r="E22" s="989"/>
      <c r="H22" s="298"/>
    </row>
    <row r="23" spans="1:17">
      <c r="A23" s="527">
        <v>9</v>
      </c>
      <c r="B23" s="15" t="s">
        <v>96</v>
      </c>
      <c r="D23" s="989"/>
      <c r="E23" s="989"/>
      <c r="F23" s="989"/>
      <c r="G23" s="989"/>
      <c r="H23" s="298"/>
      <c r="I23" s="989"/>
      <c r="J23" s="989"/>
      <c r="K23" s="989"/>
      <c r="L23" s="989"/>
    </row>
    <row r="24" spans="1:17">
      <c r="A24" s="527">
        <v>10</v>
      </c>
      <c r="B24" s="457"/>
      <c r="F24" s="269"/>
    </row>
    <row r="25" spans="1:17">
      <c r="A25" s="403"/>
      <c r="B25" s="460" t="s">
        <v>75</v>
      </c>
      <c r="C25" s="460" t="s">
        <v>76</v>
      </c>
      <c r="D25" s="631" t="s">
        <v>77</v>
      </c>
      <c r="E25" s="632" t="s">
        <v>78</v>
      </c>
      <c r="F25" s="632" t="s">
        <v>79</v>
      </c>
      <c r="G25" s="632" t="s">
        <v>80</v>
      </c>
      <c r="H25" s="632" t="s">
        <v>81</v>
      </c>
      <c r="I25" s="632" t="s">
        <v>83</v>
      </c>
      <c r="J25" s="632" t="s">
        <v>84</v>
      </c>
      <c r="K25" s="632" t="s">
        <v>85</v>
      </c>
      <c r="L25" s="632" t="s">
        <v>162</v>
      </c>
      <c r="M25" s="632" t="s">
        <v>857</v>
      </c>
      <c r="N25" s="632" t="s">
        <v>200</v>
      </c>
      <c r="O25" s="633" t="s">
        <v>784</v>
      </c>
      <c r="P25" s="529" t="s">
        <v>203</v>
      </c>
      <c r="Q25" s="621" t="s">
        <v>204</v>
      </c>
    </row>
    <row r="26" spans="1:17">
      <c r="A26" s="527"/>
      <c r="B26" s="458"/>
      <c r="C26" s="454"/>
      <c r="D26" s="530"/>
      <c r="E26" s="298"/>
      <c r="F26" s="298"/>
      <c r="G26" s="403"/>
      <c r="H26" s="298"/>
      <c r="J26" s="298"/>
      <c r="O26" s="627"/>
      <c r="P26" s="452"/>
      <c r="Q26" s="458"/>
    </row>
    <row r="27" spans="1:17">
      <c r="A27" s="527"/>
      <c r="B27" s="459"/>
      <c r="C27" s="461"/>
      <c r="D27" s="530"/>
      <c r="E27" s="298"/>
      <c r="F27" s="298"/>
      <c r="G27" s="298"/>
      <c r="H27" s="298"/>
      <c r="I27" s="298"/>
      <c r="J27" s="298"/>
      <c r="K27" s="298"/>
      <c r="L27" s="298"/>
      <c r="M27" s="298"/>
      <c r="N27" s="298"/>
      <c r="O27" s="531"/>
      <c r="P27" s="530"/>
      <c r="Q27" s="461"/>
    </row>
    <row r="28" spans="1:17">
      <c r="A28" s="527"/>
      <c r="B28" s="461" t="s">
        <v>642</v>
      </c>
      <c r="C28" s="461"/>
      <c r="D28" s="988" t="s">
        <v>858</v>
      </c>
      <c r="E28" s="989"/>
      <c r="F28" s="989"/>
      <c r="G28" s="989"/>
      <c r="H28" s="989"/>
      <c r="I28" s="989"/>
      <c r="J28" s="989"/>
      <c r="K28" s="989"/>
      <c r="L28" s="989"/>
      <c r="M28" s="989"/>
      <c r="N28" s="989"/>
      <c r="O28" s="990"/>
      <c r="P28" s="530" t="s">
        <v>502</v>
      </c>
      <c r="Q28" s="461" t="s">
        <v>502</v>
      </c>
    </row>
    <row r="29" spans="1:17">
      <c r="A29" s="527"/>
      <c r="B29" s="456" t="s">
        <v>634</v>
      </c>
      <c r="C29" s="456" t="s">
        <v>635</v>
      </c>
      <c r="D29" s="645" t="s">
        <v>105</v>
      </c>
      <c r="E29" s="652" t="s">
        <v>104</v>
      </c>
      <c r="F29" s="653" t="s">
        <v>103</v>
      </c>
      <c r="G29" s="653" t="s">
        <v>95</v>
      </c>
      <c r="H29" s="652" t="s">
        <v>92</v>
      </c>
      <c r="I29" s="652" t="s">
        <v>145</v>
      </c>
      <c r="J29" s="652" t="s">
        <v>102</v>
      </c>
      <c r="K29" s="652" t="s">
        <v>101</v>
      </c>
      <c r="L29" s="652" t="s">
        <v>100</v>
      </c>
      <c r="M29" s="652" t="s">
        <v>106</v>
      </c>
      <c r="N29" s="652" t="s">
        <v>99</v>
      </c>
      <c r="O29" s="646" t="s">
        <v>98</v>
      </c>
      <c r="P29" s="645" t="s">
        <v>859</v>
      </c>
      <c r="Q29" s="456" t="s">
        <v>743</v>
      </c>
    </row>
    <row r="30" spans="1:17">
      <c r="A30" s="527">
        <v>11</v>
      </c>
      <c r="B30" s="459" t="s">
        <v>507</v>
      </c>
      <c r="C30" s="459"/>
      <c r="D30" s="624"/>
      <c r="E30" s="625"/>
      <c r="F30" s="625"/>
      <c r="G30" s="625"/>
      <c r="H30" s="625"/>
      <c r="I30" s="74"/>
      <c r="J30" s="74"/>
      <c r="K30" s="74"/>
      <c r="L30" s="74"/>
      <c r="O30" s="627"/>
      <c r="P30" s="634"/>
      <c r="Q30" s="459"/>
    </row>
    <row r="31" spans="1:17">
      <c r="A31" s="527" t="s">
        <v>854</v>
      </c>
      <c r="B31" s="478"/>
      <c r="C31" s="478"/>
      <c r="D31" s="539"/>
      <c r="E31" s="486"/>
      <c r="F31" s="486"/>
      <c r="G31" s="486"/>
      <c r="H31" s="486"/>
      <c r="I31" s="486"/>
      <c r="J31" s="486"/>
      <c r="K31" s="626"/>
      <c r="L31" s="626"/>
      <c r="M31" s="457"/>
      <c r="N31" s="457"/>
      <c r="O31" s="628"/>
      <c r="P31" s="635">
        <f>+H15</f>
        <v>6.3428571428571423E-3</v>
      </c>
      <c r="Q31" s="654">
        <f t="shared" ref="Q31:Q49" si="0">+P31*(D31+E31*0.91667+F31*0.83333+G31*0.75+H31*0.66667+I31*7/12+J31*6/12+K31*5/12+L31*4/12+M31*3/12+N31*2/12+O31*1/12)+P31*1.5*SUM(D31:O31)</f>
        <v>0</v>
      </c>
    </row>
    <row r="32" spans="1:17">
      <c r="A32" s="527" t="s">
        <v>855</v>
      </c>
      <c r="B32" s="478"/>
      <c r="C32" s="478"/>
      <c r="D32" s="539"/>
      <c r="E32" s="486"/>
      <c r="F32" s="486"/>
      <c r="G32" s="486"/>
      <c r="H32" s="486"/>
      <c r="I32" s="486"/>
      <c r="J32" s="486"/>
      <c r="K32" s="626"/>
      <c r="L32" s="626"/>
      <c r="M32" s="457"/>
      <c r="N32" s="457"/>
      <c r="O32" s="628"/>
      <c r="P32" s="635">
        <f t="shared" ref="P32:P49" si="1">+P31</f>
        <v>6.3428571428571423E-3</v>
      </c>
      <c r="Q32" s="654">
        <f t="shared" si="0"/>
        <v>0</v>
      </c>
    </row>
    <row r="33" spans="1:17">
      <c r="A33" s="527" t="s">
        <v>856</v>
      </c>
      <c r="B33" s="478"/>
      <c r="C33" s="478"/>
      <c r="D33" s="539"/>
      <c r="E33" s="486"/>
      <c r="F33" s="486"/>
      <c r="G33" s="486"/>
      <c r="H33" s="486"/>
      <c r="I33" s="486"/>
      <c r="J33" s="486"/>
      <c r="K33" s="626"/>
      <c r="L33" s="626"/>
      <c r="M33" s="457"/>
      <c r="N33" s="457"/>
      <c r="O33" s="628"/>
      <c r="P33" s="635">
        <f t="shared" si="1"/>
        <v>6.3428571428571423E-3</v>
      </c>
      <c r="Q33" s="654">
        <f t="shared" si="0"/>
        <v>0</v>
      </c>
    </row>
    <row r="34" spans="1:17">
      <c r="A34" s="527" t="s">
        <v>501</v>
      </c>
      <c r="B34" s="478"/>
      <c r="C34" s="478"/>
      <c r="D34" s="539"/>
      <c r="E34" s="486"/>
      <c r="F34" s="486"/>
      <c r="G34" s="486"/>
      <c r="H34" s="486"/>
      <c r="I34" s="486"/>
      <c r="J34" s="486"/>
      <c r="K34" s="626"/>
      <c r="L34" s="626"/>
      <c r="M34" s="457"/>
      <c r="N34" s="457"/>
      <c r="O34" s="628"/>
      <c r="P34" s="635">
        <f t="shared" si="1"/>
        <v>6.3428571428571423E-3</v>
      </c>
      <c r="Q34" s="654">
        <f t="shared" si="0"/>
        <v>0</v>
      </c>
    </row>
    <row r="35" spans="1:17">
      <c r="A35" s="527"/>
      <c r="B35" s="478"/>
      <c r="C35" s="478"/>
      <c r="D35" s="539"/>
      <c r="E35" s="486"/>
      <c r="F35" s="486"/>
      <c r="G35" s="486"/>
      <c r="H35" s="486"/>
      <c r="I35" s="486"/>
      <c r="J35" s="486"/>
      <c r="K35" s="626"/>
      <c r="L35" s="626"/>
      <c r="M35" s="457"/>
      <c r="N35" s="457"/>
      <c r="O35" s="628"/>
      <c r="P35" s="635">
        <f t="shared" si="1"/>
        <v>6.3428571428571423E-3</v>
      </c>
      <c r="Q35" s="654">
        <f t="shared" si="0"/>
        <v>0</v>
      </c>
    </row>
    <row r="36" spans="1:17">
      <c r="A36" s="527"/>
      <c r="B36" s="478"/>
      <c r="C36" s="478"/>
      <c r="D36" s="539"/>
      <c r="E36" s="486"/>
      <c r="F36" s="486"/>
      <c r="G36" s="486"/>
      <c r="H36" s="486"/>
      <c r="I36" s="486"/>
      <c r="J36" s="486"/>
      <c r="K36" s="626"/>
      <c r="L36" s="626"/>
      <c r="M36" s="457"/>
      <c r="N36" s="457"/>
      <c r="O36" s="628"/>
      <c r="P36" s="635">
        <f t="shared" si="1"/>
        <v>6.3428571428571423E-3</v>
      </c>
      <c r="Q36" s="654">
        <f t="shared" si="0"/>
        <v>0</v>
      </c>
    </row>
    <row r="37" spans="1:17">
      <c r="A37" s="527"/>
      <c r="B37" s="478"/>
      <c r="C37" s="478"/>
      <c r="D37" s="539"/>
      <c r="E37" s="486"/>
      <c r="F37" s="486"/>
      <c r="G37" s="486"/>
      <c r="H37" s="486"/>
      <c r="I37" s="486"/>
      <c r="J37" s="486"/>
      <c r="K37" s="626"/>
      <c r="L37" s="626"/>
      <c r="M37" s="457"/>
      <c r="N37" s="457"/>
      <c r="O37" s="628"/>
      <c r="P37" s="635">
        <f t="shared" si="1"/>
        <v>6.3428571428571423E-3</v>
      </c>
      <c r="Q37" s="654">
        <f t="shared" si="0"/>
        <v>0</v>
      </c>
    </row>
    <row r="38" spans="1:17">
      <c r="A38" s="527"/>
      <c r="B38" s="478"/>
      <c r="C38" s="478"/>
      <c r="D38" s="539"/>
      <c r="E38" s="486"/>
      <c r="F38" s="486"/>
      <c r="G38" s="486"/>
      <c r="H38" s="486"/>
      <c r="I38" s="486"/>
      <c r="J38" s="486"/>
      <c r="K38" s="626"/>
      <c r="L38" s="626"/>
      <c r="M38" s="457"/>
      <c r="N38" s="457"/>
      <c r="O38" s="628"/>
      <c r="P38" s="635">
        <f t="shared" si="1"/>
        <v>6.3428571428571423E-3</v>
      </c>
      <c r="Q38" s="654">
        <f t="shared" si="0"/>
        <v>0</v>
      </c>
    </row>
    <row r="39" spans="1:17">
      <c r="A39" s="527"/>
      <c r="B39" s="478"/>
      <c r="C39" s="478"/>
      <c r="D39" s="539"/>
      <c r="E39" s="486"/>
      <c r="F39" s="486"/>
      <c r="G39" s="486"/>
      <c r="H39" s="486"/>
      <c r="I39" s="486"/>
      <c r="J39" s="486"/>
      <c r="K39" s="626"/>
      <c r="L39" s="626"/>
      <c r="M39" s="457"/>
      <c r="N39" s="457"/>
      <c r="O39" s="628"/>
      <c r="P39" s="635">
        <f t="shared" si="1"/>
        <v>6.3428571428571423E-3</v>
      </c>
      <c r="Q39" s="654">
        <f t="shared" si="0"/>
        <v>0</v>
      </c>
    </row>
    <row r="40" spans="1:17">
      <c r="A40" s="527"/>
      <c r="B40" s="478"/>
      <c r="C40" s="478"/>
      <c r="D40" s="539"/>
      <c r="E40" s="486"/>
      <c r="F40" s="486"/>
      <c r="G40" s="486"/>
      <c r="H40" s="486"/>
      <c r="I40" s="486"/>
      <c r="J40" s="486"/>
      <c r="K40" s="626"/>
      <c r="L40" s="626"/>
      <c r="M40" s="457"/>
      <c r="N40" s="457"/>
      <c r="O40" s="628"/>
      <c r="P40" s="635">
        <f t="shared" si="1"/>
        <v>6.3428571428571423E-3</v>
      </c>
      <c r="Q40" s="654">
        <f t="shared" si="0"/>
        <v>0</v>
      </c>
    </row>
    <row r="41" spans="1:17">
      <c r="A41" s="527"/>
      <c r="B41" s="478"/>
      <c r="C41" s="478"/>
      <c r="D41" s="539"/>
      <c r="E41" s="486"/>
      <c r="F41" s="486"/>
      <c r="G41" s="486"/>
      <c r="H41" s="486"/>
      <c r="I41" s="486"/>
      <c r="J41" s="486"/>
      <c r="K41" s="626"/>
      <c r="L41" s="626"/>
      <c r="M41" s="457"/>
      <c r="N41" s="457"/>
      <c r="O41" s="628"/>
      <c r="P41" s="635">
        <f t="shared" si="1"/>
        <v>6.3428571428571423E-3</v>
      </c>
      <c r="Q41" s="654">
        <f t="shared" si="0"/>
        <v>0</v>
      </c>
    </row>
    <row r="42" spans="1:17">
      <c r="A42" s="527"/>
      <c r="B42" s="478"/>
      <c r="C42" s="478"/>
      <c r="D42" s="539"/>
      <c r="E42" s="486"/>
      <c r="F42" s="486"/>
      <c r="G42" s="486"/>
      <c r="H42" s="486"/>
      <c r="I42" s="486"/>
      <c r="J42" s="486"/>
      <c r="K42" s="626"/>
      <c r="L42" s="626"/>
      <c r="M42" s="457"/>
      <c r="N42" s="457"/>
      <c r="O42" s="628"/>
      <c r="P42" s="635">
        <f t="shared" si="1"/>
        <v>6.3428571428571423E-3</v>
      </c>
      <c r="Q42" s="654">
        <f t="shared" si="0"/>
        <v>0</v>
      </c>
    </row>
    <row r="43" spans="1:17">
      <c r="A43" s="527"/>
      <c r="B43" s="478"/>
      <c r="C43" s="478"/>
      <c r="D43" s="539"/>
      <c r="E43" s="486"/>
      <c r="F43" s="486"/>
      <c r="G43" s="486"/>
      <c r="H43" s="486"/>
      <c r="I43" s="486"/>
      <c r="J43" s="486"/>
      <c r="K43" s="626"/>
      <c r="L43" s="626"/>
      <c r="M43" s="457"/>
      <c r="N43" s="457"/>
      <c r="O43" s="628"/>
      <c r="P43" s="635">
        <f t="shared" si="1"/>
        <v>6.3428571428571423E-3</v>
      </c>
      <c r="Q43" s="654">
        <f t="shared" si="0"/>
        <v>0</v>
      </c>
    </row>
    <row r="44" spans="1:17">
      <c r="A44" s="527"/>
      <c r="B44" s="478"/>
      <c r="C44" s="478"/>
      <c r="D44" s="539"/>
      <c r="E44" s="486"/>
      <c r="F44" s="486"/>
      <c r="G44" s="486"/>
      <c r="H44" s="486"/>
      <c r="I44" s="486"/>
      <c r="J44" s="486"/>
      <c r="K44" s="626"/>
      <c r="L44" s="626"/>
      <c r="M44" s="457"/>
      <c r="N44" s="457"/>
      <c r="O44" s="628"/>
      <c r="P44" s="635">
        <f t="shared" si="1"/>
        <v>6.3428571428571423E-3</v>
      </c>
      <c r="Q44" s="654">
        <f t="shared" si="0"/>
        <v>0</v>
      </c>
    </row>
    <row r="45" spans="1:17">
      <c r="A45" s="527"/>
      <c r="B45" s="478"/>
      <c r="C45" s="478"/>
      <c r="D45" s="539"/>
      <c r="E45" s="486"/>
      <c r="F45" s="486"/>
      <c r="G45" s="486"/>
      <c r="H45" s="486"/>
      <c r="I45" s="486"/>
      <c r="J45" s="486"/>
      <c r="K45" s="626"/>
      <c r="L45" s="626"/>
      <c r="M45" s="457"/>
      <c r="N45" s="457"/>
      <c r="O45" s="628"/>
      <c r="P45" s="635">
        <f t="shared" si="1"/>
        <v>6.3428571428571423E-3</v>
      </c>
      <c r="Q45" s="654">
        <f t="shared" si="0"/>
        <v>0</v>
      </c>
    </row>
    <row r="46" spans="1:17">
      <c r="A46" s="527"/>
      <c r="B46" s="478"/>
      <c r="C46" s="478"/>
      <c r="D46" s="539"/>
      <c r="E46" s="486"/>
      <c r="F46" s="486"/>
      <c r="G46" s="486"/>
      <c r="H46" s="486"/>
      <c r="I46" s="486"/>
      <c r="J46" s="486"/>
      <c r="K46" s="626"/>
      <c r="L46" s="626"/>
      <c r="M46" s="457"/>
      <c r="N46" s="457"/>
      <c r="O46" s="628"/>
      <c r="P46" s="635">
        <f t="shared" si="1"/>
        <v>6.3428571428571423E-3</v>
      </c>
      <c r="Q46" s="654">
        <f t="shared" si="0"/>
        <v>0</v>
      </c>
    </row>
    <row r="47" spans="1:17">
      <c r="A47" s="527"/>
      <c r="B47" s="478"/>
      <c r="C47" s="478"/>
      <c r="D47" s="539"/>
      <c r="E47" s="486"/>
      <c r="F47" s="486"/>
      <c r="G47" s="486"/>
      <c r="H47" s="486"/>
      <c r="I47" s="486"/>
      <c r="J47" s="486"/>
      <c r="K47" s="626"/>
      <c r="L47" s="626"/>
      <c r="M47" s="457"/>
      <c r="N47" s="457"/>
      <c r="O47" s="628"/>
      <c r="P47" s="635">
        <f t="shared" si="1"/>
        <v>6.3428571428571423E-3</v>
      </c>
      <c r="Q47" s="654">
        <f t="shared" si="0"/>
        <v>0</v>
      </c>
    </row>
    <row r="48" spans="1:17">
      <c r="A48" s="527"/>
      <c r="B48" s="478"/>
      <c r="C48" s="478"/>
      <c r="D48" s="539"/>
      <c r="E48" s="486"/>
      <c r="F48" s="486"/>
      <c r="G48" s="486"/>
      <c r="H48" s="486"/>
      <c r="I48" s="486"/>
      <c r="J48" s="486"/>
      <c r="K48" s="626"/>
      <c r="L48" s="626"/>
      <c r="M48" s="457"/>
      <c r="N48" s="457"/>
      <c r="O48" s="628"/>
      <c r="P48" s="635">
        <f t="shared" si="1"/>
        <v>6.3428571428571423E-3</v>
      </c>
      <c r="Q48" s="654">
        <f t="shared" si="0"/>
        <v>0</v>
      </c>
    </row>
    <row r="49" spans="1:17">
      <c r="A49" s="527"/>
      <c r="B49" s="478"/>
      <c r="C49" s="478"/>
      <c r="D49" s="539"/>
      <c r="E49" s="486"/>
      <c r="F49" s="486"/>
      <c r="G49" s="486"/>
      <c r="H49" s="486"/>
      <c r="I49" s="486"/>
      <c r="J49" s="486"/>
      <c r="K49" s="626"/>
      <c r="L49" s="626"/>
      <c r="M49" s="457"/>
      <c r="N49" s="457"/>
      <c r="O49" s="628"/>
      <c r="P49" s="635">
        <f t="shared" si="1"/>
        <v>6.3428571428571423E-3</v>
      </c>
      <c r="Q49" s="654">
        <f t="shared" si="0"/>
        <v>0</v>
      </c>
    </row>
    <row r="50" spans="1:17">
      <c r="A50" s="527"/>
      <c r="B50" s="462"/>
      <c r="C50" s="462"/>
      <c r="D50" s="543"/>
      <c r="E50" s="629"/>
      <c r="F50" s="270"/>
      <c r="G50" s="629"/>
      <c r="H50" s="271"/>
      <c r="I50" s="270"/>
      <c r="J50" s="270"/>
      <c r="K50" s="270"/>
      <c r="L50" s="270"/>
      <c r="M50" s="270"/>
      <c r="N50" s="270"/>
      <c r="O50" s="630"/>
      <c r="P50" s="636"/>
      <c r="Q50" s="462"/>
    </row>
    <row r="51" spans="1:17">
      <c r="A51" s="527"/>
      <c r="D51" s="625"/>
      <c r="E51" s="625"/>
      <c r="F51" s="625"/>
      <c r="G51" s="625"/>
      <c r="H51" s="625"/>
      <c r="I51" s="625"/>
      <c r="J51" s="625"/>
      <c r="K51" s="625"/>
      <c r="L51" s="625"/>
    </row>
    <row r="52" spans="1:17">
      <c r="A52" s="527"/>
      <c r="B52" s="15" t="s">
        <v>600</v>
      </c>
      <c r="D52" s="545"/>
      <c r="E52" s="545"/>
      <c r="F52" s="545"/>
      <c r="G52" s="545"/>
      <c r="H52" s="545"/>
      <c r="I52" s="545"/>
      <c r="J52" s="545"/>
      <c r="K52" s="545"/>
      <c r="L52" s="545"/>
    </row>
    <row r="53" spans="1:17">
      <c r="A53" s="527"/>
      <c r="B53" s="15" t="s">
        <v>866</v>
      </c>
      <c r="D53" s="545"/>
      <c r="E53" s="545"/>
      <c r="F53" s="545"/>
      <c r="G53" s="545"/>
      <c r="H53" s="124"/>
      <c r="I53" s="124"/>
      <c r="J53" s="124"/>
      <c r="K53" s="124"/>
      <c r="L53" s="545"/>
    </row>
    <row r="54" spans="1:17">
      <c r="A54" s="527"/>
      <c r="B54" s="15" t="s">
        <v>971</v>
      </c>
      <c r="D54" s="545"/>
      <c r="E54" s="545"/>
      <c r="F54" s="545"/>
      <c r="G54" s="545"/>
      <c r="H54" s="124"/>
      <c r="I54" s="124"/>
      <c r="J54" s="124"/>
      <c r="K54" s="124"/>
      <c r="L54" s="545"/>
    </row>
    <row r="55" spans="1:17">
      <c r="B55" s="15" t="s">
        <v>972</v>
      </c>
    </row>
    <row r="68" ht="24" customHeight="1"/>
  </sheetData>
  <customSheetViews>
    <customSheetView guid="{F04A2B9A-C6FE-4FEB-AD1E-2CF9AC309BE4}" scale="60" showPageBreaks="1" view="pageBreakPreview">
      <selection activeCell="G20" sqref="G20"/>
      <pageMargins left="0.7" right="0.7" top="0.75" bottom="0.75" header="0.3" footer="0.3"/>
      <pageSetup scale="79" orientation="landscape" r:id="rId1"/>
    </customSheetView>
  </customSheetViews>
  <mergeCells count="6">
    <mergeCell ref="D28:O28"/>
    <mergeCell ref="E5:F5"/>
    <mergeCell ref="D22:E22"/>
    <mergeCell ref="D23:E23"/>
    <mergeCell ref="F23:G23"/>
    <mergeCell ref="I23:L23"/>
  </mergeCells>
  <phoneticPr fontId="0" type="noConversion"/>
  <pageMargins left="0.25" right="0.25" top="0.75" bottom="0.75" header="0.3" footer="0.3"/>
  <pageSetup scale="69" fitToWidth="0" orientation="landscape" r:id="rId2"/>
  <customProperties>
    <customPr name="_pios_id" r:id="rId3"/>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Q68"/>
  <sheetViews>
    <sheetView workbookViewId="0"/>
  </sheetViews>
  <sheetFormatPr defaultRowHeight="15.5"/>
  <cols>
    <col min="2" max="2" width="43.765625" customWidth="1"/>
    <col min="3" max="3" width="15.53515625" customWidth="1"/>
    <col min="4" max="4" width="16.3046875" customWidth="1"/>
    <col min="5" max="6" width="12.07421875" customWidth="1"/>
    <col min="7" max="8" width="11.84375" bestFit="1" customWidth="1"/>
  </cols>
  <sheetData>
    <row r="1" spans="1:9">
      <c r="A1" s="300"/>
      <c r="C1" s="368" t="s">
        <v>286</v>
      </c>
      <c r="I1" s="659" t="s">
        <v>891</v>
      </c>
    </row>
    <row r="2" spans="1:9">
      <c r="C2" s="367" t="s">
        <v>471</v>
      </c>
    </row>
    <row r="3" spans="1:9">
      <c r="C3" s="368" t="str">
        <f>+'Attachment H'!D5</f>
        <v>Gridliance High Plains LLC</v>
      </c>
      <c r="G3" s="361"/>
      <c r="H3" s="361"/>
    </row>
    <row r="4" spans="1:9">
      <c r="C4" s="360"/>
      <c r="G4" s="361"/>
      <c r="H4" s="361"/>
    </row>
    <row r="5" spans="1:9">
      <c r="A5" s="355"/>
      <c r="B5" s="357" t="s">
        <v>468</v>
      </c>
      <c r="C5" s="354"/>
      <c r="D5" s="356"/>
      <c r="E5" s="356"/>
      <c r="F5" s="356"/>
      <c r="G5" s="362"/>
      <c r="H5" s="362"/>
    </row>
    <row r="6" spans="1:9">
      <c r="A6" s="355"/>
      <c r="B6" s="505" t="s">
        <v>292</v>
      </c>
      <c r="C6" s="354"/>
      <c r="D6" s="505" t="s">
        <v>293</v>
      </c>
      <c r="E6" s="505" t="s">
        <v>294</v>
      </c>
      <c r="F6" s="505" t="s">
        <v>295</v>
      </c>
      <c r="G6" s="505" t="s">
        <v>297</v>
      </c>
      <c r="H6" s="505" t="s">
        <v>296</v>
      </c>
      <c r="I6" s="505" t="s">
        <v>298</v>
      </c>
    </row>
    <row r="7" spans="1:9">
      <c r="A7" s="355"/>
      <c r="B7" s="354"/>
      <c r="C7" s="354"/>
      <c r="D7" s="363"/>
      <c r="E7" s="363"/>
      <c r="F7" s="363"/>
      <c r="G7" s="363"/>
      <c r="H7" s="363"/>
    </row>
    <row r="8" spans="1:9">
      <c r="A8" s="246">
        <v>1</v>
      </c>
      <c r="B8" s="15"/>
      <c r="C8" s="394"/>
      <c r="D8" s="506" t="s">
        <v>695</v>
      </c>
      <c r="E8" s="524" t="s">
        <v>865</v>
      </c>
      <c r="F8" s="524" t="s">
        <v>865</v>
      </c>
      <c r="G8" s="524" t="s">
        <v>865</v>
      </c>
      <c r="H8" s="524" t="s">
        <v>865</v>
      </c>
      <c r="I8" s="507" t="s">
        <v>21</v>
      </c>
    </row>
    <row r="9" spans="1:9">
      <c r="A9" s="246">
        <v>2</v>
      </c>
      <c r="B9" s="508" t="s">
        <v>2</v>
      </c>
      <c r="C9" s="508"/>
      <c r="D9" s="49">
        <v>0</v>
      </c>
      <c r="E9" s="49">
        <v>0</v>
      </c>
      <c r="F9" s="49">
        <v>0</v>
      </c>
      <c r="G9" s="49">
        <v>0</v>
      </c>
      <c r="H9" s="49">
        <v>0</v>
      </c>
      <c r="I9" s="26"/>
    </row>
    <row r="10" spans="1:9">
      <c r="A10" s="246">
        <v>3</v>
      </c>
      <c r="B10" s="508" t="s">
        <v>597</v>
      </c>
      <c r="C10" s="508"/>
      <c r="D10" s="49">
        <v>0</v>
      </c>
      <c r="E10" s="49">
        <v>0</v>
      </c>
      <c r="F10" s="49">
        <v>0</v>
      </c>
      <c r="G10" s="49">
        <v>0</v>
      </c>
      <c r="H10" s="49">
        <v>0</v>
      </c>
      <c r="I10" s="26"/>
    </row>
    <row r="11" spans="1:9">
      <c r="A11" s="246">
        <v>4</v>
      </c>
      <c r="B11" s="508" t="s">
        <v>697</v>
      </c>
      <c r="C11" s="508"/>
      <c r="D11" s="49">
        <f>IF(D9=0,0,D9/D10)</f>
        <v>0</v>
      </c>
      <c r="E11" s="49">
        <f t="shared" ref="E11:H11" si="0">IF(E9=0,0,E9/E10)</f>
        <v>0</v>
      </c>
      <c r="F11" s="49">
        <f t="shared" si="0"/>
        <v>0</v>
      </c>
      <c r="G11" s="49">
        <f t="shared" si="0"/>
        <v>0</v>
      </c>
      <c r="H11" s="49">
        <f t="shared" si="0"/>
        <v>0</v>
      </c>
      <c r="I11" s="26"/>
    </row>
    <row r="12" spans="1:9">
      <c r="A12" s="246">
        <v>5</v>
      </c>
      <c r="B12" s="508" t="s">
        <v>693</v>
      </c>
      <c r="C12" s="508"/>
      <c r="D12" s="638">
        <v>0</v>
      </c>
      <c r="E12" s="638">
        <v>0</v>
      </c>
      <c r="F12" s="638">
        <v>0</v>
      </c>
      <c r="G12" s="638">
        <v>0</v>
      </c>
      <c r="H12" s="638">
        <v>0</v>
      </c>
      <c r="I12" s="26"/>
    </row>
    <row r="13" spans="1:9">
      <c r="A13" s="246">
        <v>6</v>
      </c>
      <c r="B13" s="508" t="s">
        <v>696</v>
      </c>
      <c r="C13" s="508"/>
      <c r="D13" s="579">
        <f>D11*D12</f>
        <v>0</v>
      </c>
      <c r="E13" s="579">
        <f>E11*E12</f>
        <v>0</v>
      </c>
      <c r="F13" s="579">
        <f>F11*F12</f>
        <v>0</v>
      </c>
      <c r="G13" s="579">
        <f>G11*G12</f>
        <v>0</v>
      </c>
      <c r="H13" s="579">
        <f>H11*H12</f>
        <v>0</v>
      </c>
      <c r="I13" s="26">
        <f>SUM(D13:H13)</f>
        <v>0</v>
      </c>
    </row>
    <row r="14" spans="1:9">
      <c r="A14" s="246">
        <v>7</v>
      </c>
      <c r="B14" s="508" t="s">
        <v>587</v>
      </c>
      <c r="C14" s="508"/>
      <c r="D14" s="579"/>
      <c r="E14" s="26"/>
      <c r="F14" s="26"/>
      <c r="G14" s="26"/>
      <c r="H14" s="26"/>
      <c r="I14" s="26"/>
    </row>
    <row r="15" spans="1:9">
      <c r="A15" s="15"/>
      <c r="B15" s="15"/>
      <c r="C15" s="15"/>
      <c r="D15" s="15"/>
      <c r="E15" s="15"/>
      <c r="F15" s="15"/>
      <c r="G15" s="15"/>
      <c r="H15" s="15"/>
      <c r="I15" s="15"/>
    </row>
    <row r="16" spans="1:9" ht="26.5">
      <c r="A16" s="246">
        <v>8</v>
      </c>
      <c r="B16" s="509" t="s">
        <v>673</v>
      </c>
      <c r="C16" s="15"/>
      <c r="D16" s="510"/>
      <c r="E16" s="510"/>
      <c r="F16" s="510"/>
      <c r="G16" s="510"/>
      <c r="H16" s="510"/>
      <c r="I16" s="18">
        <f>SUM(D16:H16)</f>
        <v>0</v>
      </c>
    </row>
    <row r="18" spans="1:17">
      <c r="A18" s="386" t="s">
        <v>73</v>
      </c>
      <c r="B18" s="386"/>
      <c r="C18" s="24"/>
      <c r="D18" s="24"/>
      <c r="E18" s="24"/>
      <c r="F18" s="24"/>
      <c r="G18" s="24"/>
      <c r="H18" s="24"/>
      <c r="I18" s="24"/>
      <c r="J18" s="24"/>
      <c r="K18" s="24"/>
      <c r="L18" s="24"/>
      <c r="M18" s="24"/>
      <c r="N18" s="24"/>
      <c r="O18" s="24"/>
      <c r="P18" s="24"/>
      <c r="Q18" s="24"/>
    </row>
    <row r="19" spans="1:17" ht="16" thickBot="1">
      <c r="A19" s="387" t="s">
        <v>74</v>
      </c>
      <c r="B19" s="386"/>
      <c r="C19" s="24"/>
      <c r="D19" s="24"/>
      <c r="E19" s="24"/>
      <c r="F19" s="24"/>
      <c r="G19" s="24"/>
      <c r="H19" s="24"/>
      <c r="I19" s="24"/>
      <c r="J19" s="24"/>
      <c r="K19" s="24"/>
      <c r="L19" s="24"/>
      <c r="M19" s="24"/>
      <c r="N19" s="24"/>
      <c r="O19" s="24"/>
      <c r="P19" s="24"/>
      <c r="Q19" s="24"/>
    </row>
    <row r="20" spans="1:17">
      <c r="A20" s="388" t="s">
        <v>75</v>
      </c>
      <c r="B20" s="518" t="s">
        <v>698</v>
      </c>
      <c r="C20" s="517"/>
      <c r="D20" s="517"/>
      <c r="E20" s="517"/>
      <c r="F20" s="517"/>
      <c r="G20" s="517"/>
      <c r="H20" s="517"/>
      <c r="I20" s="517"/>
      <c r="J20" s="517"/>
      <c r="K20" s="517"/>
      <c r="L20" s="517"/>
      <c r="M20" s="517"/>
      <c r="N20" s="517"/>
      <c r="O20" s="517"/>
      <c r="P20" s="517"/>
      <c r="Q20" s="517"/>
    </row>
    <row r="21" spans="1:17">
      <c r="A21" s="512"/>
      <c r="B21" s="513"/>
    </row>
    <row r="68" ht="24" customHeight="1"/>
  </sheetData>
  <phoneticPr fontId="0" type="noConversion"/>
  <pageMargins left="0.7" right="0.7" top="0.75" bottom="0.75" header="0.3" footer="0.3"/>
  <pageSetup scale="22" orientation="landscape"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L127"/>
  <sheetViews>
    <sheetView workbookViewId="0"/>
  </sheetViews>
  <sheetFormatPr defaultColWidth="8.84375" defaultRowHeight="13"/>
  <cols>
    <col min="1" max="1" width="5.4609375" style="263" customWidth="1"/>
    <col min="2" max="2" width="21.4609375" style="242" customWidth="1"/>
    <col min="3" max="3" width="12.07421875" style="242" bestFit="1" customWidth="1"/>
    <col min="4" max="4" width="12.07421875" style="242" customWidth="1"/>
    <col min="5" max="5" width="11" style="242" customWidth="1"/>
    <col min="6" max="6" width="13.4609375" style="242" customWidth="1"/>
    <col min="7" max="7" width="14.07421875" style="242" customWidth="1"/>
    <col min="8" max="8" width="12.3046875" style="242" customWidth="1"/>
    <col min="9" max="9" width="14.07421875" style="242" customWidth="1"/>
    <col min="10" max="10" width="24.3046875" style="242" customWidth="1"/>
    <col min="11" max="11" width="7.23046875" style="242" customWidth="1"/>
    <col min="12" max="12" width="12.23046875" style="242" customWidth="1"/>
    <col min="13" max="13" width="8.07421875" style="242" customWidth="1"/>
    <col min="14" max="14" width="7.69140625" style="242" bestFit="1" customWidth="1"/>
    <col min="15" max="15" width="11.69140625" style="242" bestFit="1" customWidth="1"/>
    <col min="16" max="16" width="10.84375" style="242" bestFit="1" customWidth="1"/>
    <col min="17" max="16384" width="8.84375" style="242"/>
  </cols>
  <sheetData>
    <row r="1" spans="1:10">
      <c r="J1" s="620" t="s">
        <v>891</v>
      </c>
    </row>
    <row r="2" spans="1:10" ht="15" customHeight="1">
      <c r="A2" s="994" t="s">
        <v>489</v>
      </c>
      <c r="B2" s="994"/>
      <c r="C2" s="994"/>
      <c r="D2" s="994"/>
      <c r="E2" s="994"/>
      <c r="F2" s="994"/>
      <c r="G2" s="994"/>
      <c r="H2" s="994"/>
      <c r="I2" s="994"/>
      <c r="J2" s="994"/>
    </row>
    <row r="3" spans="1:10">
      <c r="A3" s="994" t="s">
        <v>494</v>
      </c>
      <c r="B3" s="994"/>
      <c r="C3" s="994"/>
      <c r="D3" s="994"/>
      <c r="E3" s="994"/>
      <c r="F3" s="994"/>
      <c r="G3" s="994"/>
      <c r="H3" s="994"/>
      <c r="I3" s="994"/>
      <c r="J3" s="994"/>
    </row>
    <row r="4" spans="1:10" ht="15" customHeight="1">
      <c r="A4" s="995" t="str">
        <f>+'Attachment H'!D5</f>
        <v>Gridliance High Plains LLC</v>
      </c>
      <c r="B4" s="995"/>
      <c r="C4" s="995"/>
      <c r="D4" s="995"/>
      <c r="E4" s="995"/>
      <c r="F4" s="995"/>
      <c r="G4" s="995"/>
      <c r="H4" s="995"/>
      <c r="I4" s="995"/>
      <c r="J4" s="995"/>
    </row>
    <row r="5" spans="1:10">
      <c r="A5" s="479"/>
      <c r="F5" s="274"/>
    </row>
    <row r="6" spans="1:10">
      <c r="A6" s="479"/>
      <c r="B6" s="242" t="s">
        <v>650</v>
      </c>
      <c r="F6" s="274"/>
    </row>
    <row r="7" spans="1:10">
      <c r="A7" s="479"/>
      <c r="B7" s="242" t="s">
        <v>163</v>
      </c>
      <c r="F7" s="274"/>
    </row>
    <row r="8" spans="1:10">
      <c r="A8" s="479"/>
      <c r="B8" s="242" t="s">
        <v>164</v>
      </c>
      <c r="F8" s="274"/>
    </row>
    <row r="9" spans="1:10">
      <c r="A9" s="479"/>
      <c r="F9" s="274"/>
    </row>
    <row r="10" spans="1:10" ht="13.5" thickBot="1">
      <c r="B10" s="242" t="s">
        <v>839</v>
      </c>
    </row>
    <row r="11" spans="1:10">
      <c r="B11" s="275"/>
      <c r="C11" s="248"/>
      <c r="D11" s="248"/>
      <c r="E11" s="248"/>
      <c r="F11" s="260"/>
    </row>
    <row r="12" spans="1:10" ht="13.5" thickBot="1">
      <c r="A12" s="263">
        <v>1</v>
      </c>
      <c r="B12" s="252" t="s">
        <v>108</v>
      </c>
      <c r="C12" s="276"/>
      <c r="D12" s="276"/>
      <c r="E12" s="276"/>
      <c r="F12" s="277">
        <v>0</v>
      </c>
      <c r="H12" s="996"/>
      <c r="I12" s="996"/>
    </row>
    <row r="13" spans="1:10" ht="13.5" thickBot="1">
      <c r="B13" s="242" t="s">
        <v>840</v>
      </c>
      <c r="F13" s="278"/>
      <c r="H13" s="279"/>
      <c r="I13" s="243"/>
    </row>
    <row r="14" spans="1:10">
      <c r="A14" s="263">
        <v>2</v>
      </c>
      <c r="B14" s="275" t="s">
        <v>651</v>
      </c>
      <c r="C14" s="248"/>
      <c r="D14" s="248"/>
      <c r="E14" s="248"/>
      <c r="F14" s="244">
        <f>IFERROR(ROUND(XIRR(J55:J71,B55:B71,0.08),4),0)</f>
        <v>0</v>
      </c>
      <c r="G14" s="393"/>
      <c r="H14" s="245"/>
      <c r="I14" s="245"/>
    </row>
    <row r="15" spans="1:10">
      <c r="A15" s="263">
        <f>+A14+1</f>
        <v>3</v>
      </c>
      <c r="B15" s="280" t="s">
        <v>652</v>
      </c>
      <c r="F15" s="281"/>
      <c r="H15" s="245"/>
      <c r="I15" s="245"/>
      <c r="J15" s="15"/>
    </row>
    <row r="16" spans="1:10">
      <c r="A16" s="263">
        <f t="shared" ref="A16:A78" si="0">+A15+1</f>
        <v>4</v>
      </c>
      <c r="B16" s="280"/>
      <c r="F16" s="282"/>
      <c r="H16" s="245"/>
      <c r="I16" s="245"/>
      <c r="J16" s="15"/>
    </row>
    <row r="17" spans="1:12">
      <c r="A17" s="263">
        <f t="shared" si="0"/>
        <v>5</v>
      </c>
      <c r="B17" s="280"/>
      <c r="F17" s="282"/>
      <c r="K17" s="283"/>
    </row>
    <row r="18" spans="1:12">
      <c r="A18" s="263">
        <f t="shared" si="0"/>
        <v>6</v>
      </c>
      <c r="B18" s="280" t="s">
        <v>109</v>
      </c>
      <c r="C18" s="246"/>
      <c r="F18" s="282"/>
      <c r="J18" s="286"/>
    </row>
    <row r="19" spans="1:12">
      <c r="A19" s="263">
        <f t="shared" si="0"/>
        <v>7</v>
      </c>
      <c r="B19" s="280"/>
      <c r="C19" s="246"/>
      <c r="F19" s="282"/>
    </row>
    <row r="20" spans="1:12" ht="19.5" customHeight="1" thickBot="1">
      <c r="A20" s="263">
        <f t="shared" si="0"/>
        <v>8</v>
      </c>
      <c r="B20" s="252"/>
      <c r="C20" s="247"/>
      <c r="D20" s="276"/>
      <c r="E20" s="276"/>
      <c r="F20" s="284"/>
    </row>
    <row r="21" spans="1:12">
      <c r="B21" s="273"/>
      <c r="F21" s="285"/>
    </row>
    <row r="22" spans="1:12" ht="13.5" thickBot="1">
      <c r="B22" s="242" t="s">
        <v>841</v>
      </c>
      <c r="F22" s="286"/>
    </row>
    <row r="23" spans="1:12">
      <c r="A23" s="263">
        <f>+A20+1</f>
        <v>9</v>
      </c>
      <c r="B23" s="287"/>
      <c r="C23" s="248"/>
      <c r="D23" s="248"/>
      <c r="E23" s="248"/>
      <c r="F23" s="288"/>
    </row>
    <row r="24" spans="1:12">
      <c r="A24" s="263">
        <f t="shared" si="0"/>
        <v>10</v>
      </c>
      <c r="B24" s="280" t="s">
        <v>539</v>
      </c>
      <c r="E24" s="246" t="s">
        <v>653</v>
      </c>
      <c r="F24" s="480" t="s">
        <v>19</v>
      </c>
    </row>
    <row r="25" spans="1:12">
      <c r="A25" s="263">
        <f t="shared" si="0"/>
        <v>11</v>
      </c>
      <c r="B25" s="481" t="s">
        <v>110</v>
      </c>
      <c r="C25" s="439"/>
      <c r="D25" s="439"/>
      <c r="E25" s="482"/>
      <c r="F25" s="483"/>
      <c r="G25" s="992"/>
      <c r="H25" s="993"/>
      <c r="I25" s="993"/>
      <c r="J25" s="261"/>
    </row>
    <row r="26" spans="1:12">
      <c r="A26" s="263">
        <f t="shared" si="0"/>
        <v>12</v>
      </c>
      <c r="B26" s="481" t="s">
        <v>137</v>
      </c>
      <c r="C26" s="439"/>
      <c r="D26" s="439"/>
      <c r="E26" s="642"/>
      <c r="F26" s="483"/>
      <c r="G26" s="263"/>
      <c r="H26" s="290"/>
      <c r="I26" s="290"/>
      <c r="L26" s="484"/>
    </row>
    <row r="27" spans="1:12">
      <c r="A27" s="263">
        <f t="shared" si="0"/>
        <v>13</v>
      </c>
      <c r="B27" s="481" t="s">
        <v>136</v>
      </c>
      <c r="C27" s="439"/>
      <c r="D27" s="439"/>
      <c r="E27" s="482"/>
      <c r="F27" s="483"/>
      <c r="G27" s="263"/>
      <c r="H27" s="290"/>
      <c r="I27" s="290"/>
      <c r="J27" s="394"/>
    </row>
    <row r="28" spans="1:12">
      <c r="A28" s="263">
        <f t="shared" si="0"/>
        <v>14</v>
      </c>
      <c r="B28" s="481" t="s">
        <v>135</v>
      </c>
      <c r="C28" s="439"/>
      <c r="D28" s="439"/>
      <c r="E28" s="485">
        <v>0</v>
      </c>
      <c r="F28" s="639">
        <f>E28</f>
        <v>0</v>
      </c>
      <c r="G28" s="263"/>
    </row>
    <row r="29" spans="1:12">
      <c r="A29" s="263">
        <f t="shared" si="0"/>
        <v>15</v>
      </c>
      <c r="B29" s="481" t="s">
        <v>134</v>
      </c>
      <c r="C29" s="485"/>
      <c r="D29" s="439"/>
      <c r="E29" s="486">
        <v>0</v>
      </c>
      <c r="F29" s="639">
        <v>0</v>
      </c>
      <c r="G29" s="263"/>
      <c r="I29" s="290"/>
    </row>
    <row r="30" spans="1:12">
      <c r="A30" s="263" t="s">
        <v>643</v>
      </c>
      <c r="B30" s="481"/>
      <c r="C30" s="485"/>
      <c r="D30" s="439"/>
      <c r="E30" s="486">
        <v>0</v>
      </c>
      <c r="F30" s="640">
        <v>0</v>
      </c>
      <c r="G30" s="263"/>
      <c r="I30" s="290"/>
    </row>
    <row r="31" spans="1:12" ht="13.5" thickBot="1">
      <c r="A31" s="263">
        <f>+A29+1</f>
        <v>16</v>
      </c>
      <c r="B31" s="289" t="s">
        <v>111</v>
      </c>
      <c r="C31" s="291"/>
      <c r="E31" s="487"/>
      <c r="F31" s="488">
        <f>SUM(F25:F29)</f>
        <v>0</v>
      </c>
      <c r="G31" s="263"/>
    </row>
    <row r="32" spans="1:12" ht="14" thickTop="1" thickBot="1">
      <c r="B32" s="251"/>
      <c r="C32" s="296"/>
      <c r="D32" s="276"/>
      <c r="E32" s="276"/>
      <c r="F32" s="297"/>
      <c r="G32" s="263"/>
      <c r="J32" s="261"/>
    </row>
    <row r="33" spans="1:10">
      <c r="A33" s="263">
        <f>+A31+1</f>
        <v>17</v>
      </c>
      <c r="B33" s="489"/>
      <c r="C33" s="490"/>
      <c r="D33" s="491"/>
      <c r="E33" s="491"/>
      <c r="F33" s="492"/>
      <c r="G33" s="263"/>
      <c r="J33" s="292"/>
    </row>
    <row r="34" spans="1:10">
      <c r="A34" s="263">
        <f t="shared" si="0"/>
        <v>18</v>
      </c>
      <c r="B34" s="493" t="s">
        <v>138</v>
      </c>
      <c r="C34" s="485"/>
      <c r="D34" s="439"/>
      <c r="E34" s="641">
        <v>0</v>
      </c>
      <c r="F34" s="639">
        <v>0</v>
      </c>
      <c r="G34" s="263"/>
      <c r="J34" s="292"/>
    </row>
    <row r="35" spans="1:10">
      <c r="A35" s="263">
        <f t="shared" si="0"/>
        <v>19</v>
      </c>
      <c r="B35" s="493" t="s">
        <v>139</v>
      </c>
      <c r="C35" s="485"/>
      <c r="D35" s="439"/>
      <c r="E35" s="443">
        <v>0</v>
      </c>
      <c r="F35" s="639">
        <v>0</v>
      </c>
      <c r="G35" s="263"/>
      <c r="J35" s="292"/>
    </row>
    <row r="36" spans="1:10">
      <c r="A36" s="263">
        <v>21</v>
      </c>
      <c r="B36" s="493" t="s">
        <v>133</v>
      </c>
      <c r="C36" s="485"/>
      <c r="D36" s="439"/>
      <c r="E36" s="486"/>
      <c r="F36" s="494">
        <f>+E36</f>
        <v>0</v>
      </c>
      <c r="G36" s="263"/>
      <c r="J36" s="292"/>
    </row>
    <row r="37" spans="1:10" ht="13.5" thickBot="1">
      <c r="A37" s="263" t="s">
        <v>654</v>
      </c>
      <c r="B37" s="495"/>
      <c r="C37" s="496"/>
      <c r="D37" s="497"/>
      <c r="E37" s="498"/>
      <c r="F37" s="395"/>
      <c r="G37" s="263"/>
      <c r="H37" s="293"/>
      <c r="I37" s="290"/>
    </row>
    <row r="38" spans="1:10">
      <c r="B38" s="273"/>
      <c r="C38" s="274"/>
      <c r="E38" s="396"/>
      <c r="F38" s="274"/>
      <c r="G38" s="263"/>
    </row>
    <row r="39" spans="1:10" ht="13.5" thickBot="1">
      <c r="B39" s="242" t="s">
        <v>842</v>
      </c>
      <c r="C39" s="274"/>
    </row>
    <row r="40" spans="1:10" ht="13.5" thickBot="1">
      <c r="A40" s="263">
        <v>22</v>
      </c>
      <c r="B40" s="249"/>
      <c r="C40" s="250">
        <v>2015</v>
      </c>
      <c r="D40" s="250">
        <f t="shared" ref="D40:I40" si="1">+C40+1</f>
        <v>2016</v>
      </c>
      <c r="E40" s="250">
        <f t="shared" si="1"/>
        <v>2017</v>
      </c>
      <c r="F40" s="250">
        <f t="shared" si="1"/>
        <v>2018</v>
      </c>
      <c r="G40" s="250">
        <f t="shared" si="1"/>
        <v>2019</v>
      </c>
      <c r="H40" s="250">
        <f t="shared" si="1"/>
        <v>2020</v>
      </c>
      <c r="I40" s="250">
        <f t="shared" si="1"/>
        <v>2021</v>
      </c>
    </row>
    <row r="41" spans="1:10" ht="13.5" thickBot="1">
      <c r="A41" s="263">
        <f t="shared" si="0"/>
        <v>23</v>
      </c>
      <c r="B41" s="251" t="s">
        <v>540</v>
      </c>
      <c r="C41" s="615"/>
      <c r="D41" s="615"/>
      <c r="E41" s="615"/>
      <c r="F41" s="615"/>
      <c r="G41" s="615"/>
      <c r="H41" s="615"/>
      <c r="I41" s="615"/>
    </row>
    <row r="42" spans="1:10" ht="13.5" thickBot="1">
      <c r="A42" s="263">
        <f t="shared" si="0"/>
        <v>24</v>
      </c>
      <c r="B42" s="251" t="s">
        <v>132</v>
      </c>
      <c r="C42" s="615"/>
      <c r="D42" s="615"/>
      <c r="E42" s="615"/>
      <c r="F42" s="615"/>
      <c r="G42" s="615"/>
      <c r="H42" s="615"/>
      <c r="I42" s="615"/>
    </row>
    <row r="43" spans="1:10" ht="13.5" thickBot="1">
      <c r="A43" s="263">
        <f t="shared" si="0"/>
        <v>25</v>
      </c>
      <c r="B43" s="252" t="s">
        <v>112</v>
      </c>
      <c r="C43" s="397">
        <f>SUM(C41:C42)</f>
        <v>0</v>
      </c>
      <c r="D43" s="397">
        <f t="shared" ref="D43:I43" si="2">SUM(D41:D42)</f>
        <v>0</v>
      </c>
      <c r="E43" s="397">
        <f t="shared" si="2"/>
        <v>0</v>
      </c>
      <c r="F43" s="397">
        <f t="shared" si="2"/>
        <v>0</v>
      </c>
      <c r="G43" s="397">
        <f t="shared" si="2"/>
        <v>0</v>
      </c>
      <c r="H43" s="397">
        <f t="shared" si="2"/>
        <v>0</v>
      </c>
      <c r="I43" s="397">
        <f t="shared" si="2"/>
        <v>0</v>
      </c>
    </row>
    <row r="45" spans="1:10" ht="13.5" thickBot="1">
      <c r="B45" s="242" t="s">
        <v>843</v>
      </c>
    </row>
    <row r="46" spans="1:10">
      <c r="A46" s="263">
        <f>+A43+1</f>
        <v>26</v>
      </c>
      <c r="B46" s="253" t="s">
        <v>94</v>
      </c>
      <c r="C46" s="254" t="s">
        <v>93</v>
      </c>
      <c r="D46" s="254" t="s">
        <v>113</v>
      </c>
      <c r="E46" s="254" t="s">
        <v>114</v>
      </c>
      <c r="F46" s="254" t="s">
        <v>115</v>
      </c>
      <c r="G46" s="254" t="s">
        <v>116</v>
      </c>
      <c r="H46" s="254" t="s">
        <v>117</v>
      </c>
      <c r="I46" s="254" t="s">
        <v>118</v>
      </c>
      <c r="J46" s="255" t="s">
        <v>119</v>
      </c>
    </row>
    <row r="47" spans="1:10" ht="51" customHeight="1">
      <c r="A47" s="263">
        <f t="shared" si="0"/>
        <v>27</v>
      </c>
      <c r="B47" s="256" t="s">
        <v>96</v>
      </c>
      <c r="C47" s="246"/>
      <c r="D47" s="257" t="s">
        <v>655</v>
      </c>
      <c r="E47" s="257" t="s">
        <v>120</v>
      </c>
      <c r="F47" s="257" t="s">
        <v>121</v>
      </c>
      <c r="G47" s="257" t="s">
        <v>656</v>
      </c>
      <c r="H47" s="257" t="s">
        <v>122</v>
      </c>
      <c r="I47" s="257" t="s">
        <v>167</v>
      </c>
      <c r="J47" s="258" t="s">
        <v>123</v>
      </c>
    </row>
    <row r="48" spans="1:10" ht="27.75" customHeight="1" thickBot="1">
      <c r="A48" s="263">
        <f t="shared" si="0"/>
        <v>28</v>
      </c>
      <c r="B48" s="259"/>
      <c r="C48" s="247"/>
      <c r="D48" s="499" t="s">
        <v>657</v>
      </c>
      <c r="E48" s="499" t="s">
        <v>657</v>
      </c>
      <c r="F48" s="499" t="s">
        <v>658</v>
      </c>
      <c r="G48" s="499" t="s">
        <v>659</v>
      </c>
      <c r="H48" s="499" t="s">
        <v>660</v>
      </c>
      <c r="I48" s="499" t="s">
        <v>661</v>
      </c>
      <c r="J48" s="500" t="s">
        <v>124</v>
      </c>
    </row>
    <row r="49" spans="1:12">
      <c r="A49" s="263">
        <f t="shared" si="0"/>
        <v>29</v>
      </c>
      <c r="B49" s="253"/>
      <c r="C49" s="254"/>
      <c r="D49" s="248"/>
      <c r="E49" s="248"/>
      <c r="F49" s="248"/>
      <c r="G49" s="248"/>
      <c r="H49" s="248"/>
      <c r="I49" s="248"/>
      <c r="J49" s="260"/>
    </row>
    <row r="50" spans="1:12">
      <c r="A50" s="263">
        <f t="shared" si="0"/>
        <v>30</v>
      </c>
      <c r="B50" s="431"/>
      <c r="C50" s="432"/>
      <c r="D50" s="501"/>
      <c r="E50" s="439"/>
      <c r="J50" s="294"/>
    </row>
    <row r="51" spans="1:12">
      <c r="A51" s="263">
        <f t="shared" si="0"/>
        <v>31</v>
      </c>
      <c r="B51" s="431"/>
      <c r="C51" s="433"/>
      <c r="D51" s="501"/>
      <c r="E51" s="485"/>
      <c r="F51" s="291">
        <f>+D51*0.4</f>
        <v>0</v>
      </c>
      <c r="G51" s="398">
        <v>0</v>
      </c>
      <c r="H51" s="295"/>
      <c r="I51" s="291"/>
      <c r="J51" s="294">
        <f>E51-G51-H51-I51</f>
        <v>0</v>
      </c>
    </row>
    <row r="52" spans="1:12">
      <c r="A52" s="263">
        <f t="shared" si="0"/>
        <v>32</v>
      </c>
      <c r="B52" s="431"/>
      <c r="C52" s="433"/>
      <c r="D52" s="501"/>
      <c r="E52" s="485"/>
      <c r="F52" s="291">
        <f>SUM($E$51:E52)</f>
        <v>0</v>
      </c>
      <c r="G52" s="291">
        <f>F51*SUMIF($C$40:$I$40,YEAR(B51),$C$43:$I$43)*((B52-B51)/365)</f>
        <v>0</v>
      </c>
      <c r="H52" s="291"/>
      <c r="I52" s="291"/>
      <c r="J52" s="294">
        <f>E52-G52-H52-I52</f>
        <v>0</v>
      </c>
      <c r="L52" s="124"/>
    </row>
    <row r="53" spans="1:12">
      <c r="A53" s="263">
        <f t="shared" si="0"/>
        <v>33</v>
      </c>
      <c r="B53" s="431"/>
      <c r="C53" s="433"/>
      <c r="D53" s="501"/>
      <c r="E53" s="485"/>
      <c r="F53" s="291">
        <f>SUM($E$51:E53)</f>
        <v>0</v>
      </c>
      <c r="G53" s="291">
        <f>F52*SUMIF($C$40:$I$40,YEAR(B52),$C$43:$I$43)*((B53-B52)/365)</f>
        <v>0</v>
      </c>
      <c r="H53" s="291"/>
      <c r="I53" s="291"/>
      <c r="J53" s="294">
        <f t="shared" ref="J53:J66" si="3">E53-G53-H53-I53</f>
        <v>0</v>
      </c>
      <c r="K53" s="261"/>
      <c r="L53" s="124"/>
    </row>
    <row r="54" spans="1:12">
      <c r="A54" s="263">
        <f t="shared" si="0"/>
        <v>34</v>
      </c>
      <c r="B54" s="431"/>
      <c r="C54" s="433"/>
      <c r="D54" s="501"/>
      <c r="E54" s="485"/>
      <c r="F54" s="291">
        <f>SUM($E$51:E54)</f>
        <v>0</v>
      </c>
      <c r="G54" s="291">
        <f t="shared" ref="G54:G65" si="4">F53*SUMIF($C$40:$I$40,YEAR(B53),$C$43:$I$43)*((B54-B53)/365)</f>
        <v>0</v>
      </c>
      <c r="H54" s="295"/>
      <c r="I54" s="291"/>
      <c r="J54" s="294">
        <f t="shared" si="3"/>
        <v>0</v>
      </c>
      <c r="K54" s="261"/>
      <c r="L54" s="124"/>
    </row>
    <row r="55" spans="1:12">
      <c r="A55" s="263">
        <f t="shared" si="0"/>
        <v>35</v>
      </c>
      <c r="B55" s="431"/>
      <c r="C55" s="433"/>
      <c r="D55" s="501"/>
      <c r="E55" s="485"/>
      <c r="F55" s="291">
        <f>SUM($E$51:E55)</f>
        <v>0</v>
      </c>
      <c r="G55" s="291">
        <f t="shared" si="4"/>
        <v>0</v>
      </c>
      <c r="H55" s="291">
        <f>F31/1000</f>
        <v>0</v>
      </c>
      <c r="I55" s="291">
        <f>($F$12/1000-F54)*$E$36/4</f>
        <v>0</v>
      </c>
      <c r="J55" s="294">
        <f t="shared" si="3"/>
        <v>0</v>
      </c>
      <c r="K55" s="261"/>
      <c r="L55" s="124"/>
    </row>
    <row r="56" spans="1:12">
      <c r="A56" s="263">
        <f t="shared" si="0"/>
        <v>36</v>
      </c>
      <c r="B56" s="431"/>
      <c r="C56" s="433"/>
      <c r="D56" s="501"/>
      <c r="E56" s="485"/>
      <c r="F56" s="291">
        <f>SUM($E$51:E56)</f>
        <v>0</v>
      </c>
      <c r="G56" s="291">
        <f t="shared" si="4"/>
        <v>0</v>
      </c>
      <c r="H56" s="291"/>
      <c r="I56" s="291">
        <f>($F$12/1000-F55)*$E$36/4+$F$35/1000+$F$34/1000</f>
        <v>0</v>
      </c>
      <c r="J56" s="294">
        <f t="shared" si="3"/>
        <v>0</v>
      </c>
      <c r="K56" s="261"/>
      <c r="L56" s="124"/>
    </row>
    <row r="57" spans="1:12">
      <c r="A57" s="263">
        <f t="shared" si="0"/>
        <v>37</v>
      </c>
      <c r="B57" s="431"/>
      <c r="C57" s="433"/>
      <c r="D57" s="501"/>
      <c r="E57" s="485"/>
      <c r="F57" s="291">
        <f>SUM($E$51:E57)</f>
        <v>0</v>
      </c>
      <c r="G57" s="291">
        <f t="shared" si="4"/>
        <v>0</v>
      </c>
      <c r="H57" s="291"/>
      <c r="I57" s="291">
        <f t="shared" ref="I57:I71" si="5">($F$12/1000-F56)*$E$36/4+$F$35/1000+$F$34/1000</f>
        <v>0</v>
      </c>
      <c r="J57" s="294">
        <f t="shared" si="3"/>
        <v>0</v>
      </c>
      <c r="K57" s="261"/>
      <c r="L57" s="124"/>
    </row>
    <row r="58" spans="1:12">
      <c r="A58" s="263">
        <f t="shared" si="0"/>
        <v>38</v>
      </c>
      <c r="B58" s="431"/>
      <c r="C58" s="433"/>
      <c r="D58" s="501"/>
      <c r="E58" s="485"/>
      <c r="F58" s="291">
        <f>SUM($E$51:E58)</f>
        <v>0</v>
      </c>
      <c r="G58" s="291">
        <f t="shared" si="4"/>
        <v>0</v>
      </c>
      <c r="H58" s="291"/>
      <c r="I58" s="291">
        <f t="shared" si="5"/>
        <v>0</v>
      </c>
      <c r="J58" s="294">
        <f t="shared" si="3"/>
        <v>0</v>
      </c>
      <c r="K58" s="261"/>
      <c r="L58" s="124"/>
    </row>
    <row r="59" spans="1:12">
      <c r="A59" s="263">
        <f t="shared" si="0"/>
        <v>39</v>
      </c>
      <c r="B59" s="431"/>
      <c r="C59" s="433"/>
      <c r="D59" s="501"/>
      <c r="E59" s="485"/>
      <c r="F59" s="291">
        <f>SUM($E$51:E59)</f>
        <v>0</v>
      </c>
      <c r="G59" s="291">
        <f t="shared" si="4"/>
        <v>0</v>
      </c>
      <c r="H59" s="291"/>
      <c r="I59" s="291">
        <f t="shared" si="5"/>
        <v>0</v>
      </c>
      <c r="J59" s="294">
        <f t="shared" si="3"/>
        <v>0</v>
      </c>
      <c r="K59" s="261"/>
      <c r="L59" s="124"/>
    </row>
    <row r="60" spans="1:12">
      <c r="A60" s="263">
        <f t="shared" si="0"/>
        <v>40</v>
      </c>
      <c r="B60" s="431"/>
      <c r="C60" s="433"/>
      <c r="D60" s="501"/>
      <c r="E60" s="485"/>
      <c r="F60" s="291">
        <f>SUM($E$51:E60)</f>
        <v>0</v>
      </c>
      <c r="G60" s="291">
        <f t="shared" si="4"/>
        <v>0</v>
      </c>
      <c r="H60" s="291"/>
      <c r="I60" s="291">
        <f t="shared" si="5"/>
        <v>0</v>
      </c>
      <c r="J60" s="294">
        <f t="shared" si="3"/>
        <v>0</v>
      </c>
      <c r="K60" s="261"/>
      <c r="L60" s="124"/>
    </row>
    <row r="61" spans="1:12">
      <c r="A61" s="263">
        <f t="shared" si="0"/>
        <v>41</v>
      </c>
      <c r="B61" s="431"/>
      <c r="C61" s="433"/>
      <c r="D61" s="501"/>
      <c r="E61" s="485"/>
      <c r="F61" s="291">
        <f>SUM($E$51:E61)</f>
        <v>0</v>
      </c>
      <c r="G61" s="291">
        <f t="shared" si="4"/>
        <v>0</v>
      </c>
      <c r="H61" s="291"/>
      <c r="I61" s="291">
        <f t="shared" si="5"/>
        <v>0</v>
      </c>
      <c r="J61" s="294">
        <f t="shared" si="3"/>
        <v>0</v>
      </c>
      <c r="K61" s="261"/>
      <c r="L61" s="124"/>
    </row>
    <row r="62" spans="1:12">
      <c r="A62" s="263">
        <f t="shared" si="0"/>
        <v>42</v>
      </c>
      <c r="B62" s="431"/>
      <c r="C62" s="433"/>
      <c r="D62" s="501"/>
      <c r="E62" s="485"/>
      <c r="F62" s="291">
        <f>SUM($E$51:E62)</f>
        <v>0</v>
      </c>
      <c r="G62" s="291">
        <f t="shared" si="4"/>
        <v>0</v>
      </c>
      <c r="H62" s="291"/>
      <c r="I62" s="291">
        <f t="shared" si="5"/>
        <v>0</v>
      </c>
      <c r="J62" s="294">
        <f t="shared" si="3"/>
        <v>0</v>
      </c>
      <c r="K62" s="261"/>
      <c r="L62" s="124"/>
    </row>
    <row r="63" spans="1:12">
      <c r="A63" s="263">
        <f t="shared" si="0"/>
        <v>43</v>
      </c>
      <c r="B63" s="431"/>
      <c r="C63" s="433"/>
      <c r="D63" s="501"/>
      <c r="E63" s="485"/>
      <c r="F63" s="291">
        <f>SUM($E$51:E63)</f>
        <v>0</v>
      </c>
      <c r="G63" s="291">
        <f t="shared" si="4"/>
        <v>0</v>
      </c>
      <c r="H63" s="291"/>
      <c r="I63" s="291">
        <f t="shared" si="5"/>
        <v>0</v>
      </c>
      <c r="J63" s="294">
        <f t="shared" si="3"/>
        <v>0</v>
      </c>
      <c r="K63" s="261"/>
      <c r="L63" s="124"/>
    </row>
    <row r="64" spans="1:12">
      <c r="A64" s="263">
        <f t="shared" si="0"/>
        <v>44</v>
      </c>
      <c r="B64" s="431"/>
      <c r="C64" s="433"/>
      <c r="D64" s="501"/>
      <c r="E64" s="485"/>
      <c r="F64" s="291">
        <f>SUM($E$51:E64)</f>
        <v>0</v>
      </c>
      <c r="G64" s="291">
        <f t="shared" si="4"/>
        <v>0</v>
      </c>
      <c r="H64" s="291"/>
      <c r="I64" s="291">
        <f t="shared" si="5"/>
        <v>0</v>
      </c>
      <c r="J64" s="294">
        <f t="shared" si="3"/>
        <v>0</v>
      </c>
      <c r="K64" s="261"/>
      <c r="L64" s="124"/>
    </row>
    <row r="65" spans="1:12">
      <c r="A65" s="263">
        <f t="shared" si="0"/>
        <v>45</v>
      </c>
      <c r="B65" s="431"/>
      <c r="C65" s="433"/>
      <c r="D65" s="501"/>
      <c r="E65" s="485"/>
      <c r="F65" s="291">
        <f>SUM($E$51:E65)</f>
        <v>0</v>
      </c>
      <c r="G65" s="291">
        <f t="shared" si="4"/>
        <v>0</v>
      </c>
      <c r="H65" s="291"/>
      <c r="I65" s="291">
        <f t="shared" si="5"/>
        <v>0</v>
      </c>
      <c r="J65" s="294">
        <f t="shared" si="3"/>
        <v>0</v>
      </c>
      <c r="K65" s="261"/>
      <c r="L65" s="124"/>
    </row>
    <row r="66" spans="1:12" ht="24" customHeight="1">
      <c r="A66" s="263">
        <f t="shared" si="0"/>
        <v>46</v>
      </c>
      <c r="B66" s="431"/>
      <c r="C66" s="433"/>
      <c r="D66" s="501"/>
      <c r="E66" s="485"/>
      <c r="F66" s="291">
        <f>SUM($E$51:E66)</f>
        <v>0</v>
      </c>
      <c r="G66" s="291">
        <f>F65*SUMIF($C$40:$I$40,YEAR(B65),$C$43:$I$43)*((B66-B65)/365)</f>
        <v>0</v>
      </c>
      <c r="H66" s="291"/>
      <c r="I66" s="291">
        <f t="shared" si="5"/>
        <v>0</v>
      </c>
      <c r="J66" s="294">
        <f t="shared" si="3"/>
        <v>0</v>
      </c>
      <c r="K66" s="261"/>
      <c r="L66" s="124"/>
    </row>
    <row r="67" spans="1:12">
      <c r="A67" s="263">
        <f t="shared" si="0"/>
        <v>47</v>
      </c>
      <c r="B67" s="431"/>
      <c r="C67" s="433"/>
      <c r="D67" s="501"/>
      <c r="E67" s="485"/>
      <c r="F67" s="291">
        <f>SUM($E$51:E67)</f>
        <v>0</v>
      </c>
      <c r="G67" s="291">
        <f>F66*SUMIF($C$40:$I$40,YEAR(B66),$C$43:$I$43)*((B67-B66)/365)</f>
        <v>0</v>
      </c>
      <c r="H67" s="291"/>
      <c r="I67" s="291">
        <f t="shared" si="5"/>
        <v>0</v>
      </c>
      <c r="J67" s="294">
        <f>E67-G67-H67-I67</f>
        <v>0</v>
      </c>
      <c r="K67" s="261"/>
      <c r="L67" s="124"/>
    </row>
    <row r="68" spans="1:12">
      <c r="A68" s="263">
        <f t="shared" si="0"/>
        <v>48</v>
      </c>
      <c r="B68" s="431"/>
      <c r="C68" s="433"/>
      <c r="D68" s="501"/>
      <c r="E68" s="485"/>
      <c r="F68" s="291">
        <f>SUM($E$51:E68)</f>
        <v>0</v>
      </c>
      <c r="G68" s="291">
        <f>F67*SUMIF($C$40:$I$40,YEAR(B67),$C$43:$I$43)*((B68-B67)/365)</f>
        <v>0</v>
      </c>
      <c r="H68" s="291"/>
      <c r="I68" s="291">
        <f t="shared" si="5"/>
        <v>0</v>
      </c>
      <c r="J68" s="294">
        <f>E68-G68-H68-I68</f>
        <v>0</v>
      </c>
      <c r="K68" s="261"/>
      <c r="L68" s="124"/>
    </row>
    <row r="69" spans="1:12">
      <c r="A69" s="263">
        <f t="shared" si="0"/>
        <v>49</v>
      </c>
      <c r="B69" s="431"/>
      <c r="C69" s="433"/>
      <c r="D69" s="501"/>
      <c r="E69" s="485"/>
      <c r="F69" s="291">
        <f>SUM($E$51:E69)</f>
        <v>0</v>
      </c>
      <c r="G69" s="291">
        <f>F68*SUMIF($C$40:$I$40,YEAR(B68),$C$43:$I$43)*((B69-B68)/365)</f>
        <v>0</v>
      </c>
      <c r="H69" s="291"/>
      <c r="I69" s="291">
        <f t="shared" si="5"/>
        <v>0</v>
      </c>
      <c r="J69" s="294">
        <f>E69-G69-H69-I69</f>
        <v>0</v>
      </c>
      <c r="K69" s="261"/>
      <c r="L69" s="124"/>
    </row>
    <row r="70" spans="1:12">
      <c r="A70" s="263">
        <f t="shared" si="0"/>
        <v>50</v>
      </c>
      <c r="B70" s="431"/>
      <c r="C70" s="433"/>
      <c r="D70" s="501"/>
      <c r="E70" s="485"/>
      <c r="F70" s="291">
        <f>SUM($E$51:E70)</f>
        <v>0</v>
      </c>
      <c r="G70" s="291">
        <f>F69*SUMIF($C$40:$I$40,YEAR(B69),$C$43:$I$43)*((B70-B69)/365)</f>
        <v>0</v>
      </c>
      <c r="H70" s="291"/>
      <c r="I70" s="291">
        <f t="shared" si="5"/>
        <v>0</v>
      </c>
      <c r="J70" s="294">
        <f>E70-G70-H70-I70</f>
        <v>0</v>
      </c>
      <c r="K70" s="261"/>
    </row>
    <row r="71" spans="1:12">
      <c r="A71" s="263">
        <f t="shared" si="0"/>
        <v>51</v>
      </c>
      <c r="B71" s="431"/>
      <c r="C71" s="433"/>
      <c r="D71" s="501"/>
      <c r="E71" s="485"/>
      <c r="F71" s="291">
        <f>SUM($E$51:E71)</f>
        <v>0</v>
      </c>
      <c r="G71" s="291">
        <f>F70*SUMIF($C$40:$I$40,YEAR(B70),$C$43:$I$43)*((B71-B70)/365)+F71</f>
        <v>0</v>
      </c>
      <c r="H71" s="291"/>
      <c r="I71" s="291">
        <f t="shared" si="5"/>
        <v>0</v>
      </c>
      <c r="J71" s="294">
        <f>E71-G71-H71-I71</f>
        <v>0</v>
      </c>
      <c r="K71" s="261"/>
    </row>
    <row r="72" spans="1:12">
      <c r="A72" s="263">
        <f t="shared" si="0"/>
        <v>52</v>
      </c>
      <c r="B72" s="502"/>
      <c r="C72" s="432"/>
      <c r="D72" s="485"/>
      <c r="E72" s="485"/>
      <c r="F72" s="291"/>
      <c r="G72" s="291"/>
      <c r="H72" s="291"/>
      <c r="I72" s="291"/>
      <c r="J72" s="294"/>
      <c r="K72" s="261"/>
    </row>
    <row r="73" spans="1:12">
      <c r="A73" s="263">
        <f t="shared" si="0"/>
        <v>53</v>
      </c>
      <c r="B73" s="502"/>
      <c r="C73" s="503"/>
      <c r="D73" s="485"/>
      <c r="E73" s="485"/>
      <c r="F73" s="291"/>
      <c r="G73" s="399"/>
      <c r="H73" s="291"/>
      <c r="I73" s="291"/>
      <c r="J73" s="294"/>
      <c r="K73" s="261"/>
    </row>
    <row r="74" spans="1:12">
      <c r="A74" s="263">
        <f t="shared" si="0"/>
        <v>54</v>
      </c>
      <c r="B74" s="502"/>
      <c r="C74" s="432"/>
      <c r="D74" s="485"/>
      <c r="E74" s="485"/>
      <c r="F74" s="291"/>
      <c r="G74" s="400"/>
      <c r="H74" s="291"/>
      <c r="I74" s="291"/>
      <c r="J74" s="294"/>
      <c r="K74" s="261"/>
    </row>
    <row r="75" spans="1:12">
      <c r="A75" s="263">
        <f t="shared" si="0"/>
        <v>55</v>
      </c>
      <c r="B75" s="502"/>
      <c r="C75" s="432"/>
      <c r="D75" s="485"/>
      <c r="E75" s="485"/>
      <c r="F75" s="291"/>
      <c r="G75" s="291"/>
      <c r="H75" s="291"/>
      <c r="I75" s="291"/>
      <c r="J75" s="294"/>
      <c r="K75" s="261"/>
    </row>
    <row r="76" spans="1:12">
      <c r="A76" s="263">
        <f t="shared" si="0"/>
        <v>56</v>
      </c>
      <c r="B76" s="502"/>
      <c r="C76" s="432"/>
      <c r="D76" s="485"/>
      <c r="E76" s="485"/>
      <c r="F76" s="291"/>
      <c r="G76" s="291"/>
      <c r="H76" s="291"/>
      <c r="I76" s="291"/>
      <c r="J76" s="294"/>
      <c r="K76" s="261"/>
    </row>
    <row r="77" spans="1:12">
      <c r="A77" s="263">
        <f t="shared" si="0"/>
        <v>57</v>
      </c>
      <c r="B77" s="502"/>
      <c r="C77" s="432"/>
      <c r="D77" s="485"/>
      <c r="E77" s="485"/>
      <c r="F77" s="291"/>
      <c r="G77" s="291"/>
      <c r="H77" s="291"/>
      <c r="I77" s="291"/>
      <c r="J77" s="294"/>
      <c r="K77" s="261"/>
    </row>
    <row r="78" spans="1:12" ht="13.5" thickBot="1">
      <c r="A78" s="263">
        <f t="shared" si="0"/>
        <v>58</v>
      </c>
      <c r="B78" s="262"/>
      <c r="C78" s="247"/>
      <c r="D78" s="296"/>
      <c r="E78" s="296"/>
      <c r="F78" s="296"/>
      <c r="G78" s="296"/>
      <c r="H78" s="296"/>
      <c r="I78" s="296"/>
      <c r="J78" s="297"/>
      <c r="K78" s="261"/>
    </row>
    <row r="79" spans="1:12">
      <c r="K79" s="261"/>
    </row>
    <row r="80" spans="1:12">
      <c r="A80" s="263" t="s">
        <v>662</v>
      </c>
    </row>
    <row r="81" spans="2:10">
      <c r="B81" s="242" t="str">
        <f>"1  The IRR is the input to Debt Cost shown on Attachment H, Page 4, Line "&amp;'Attachment H'!A210&amp;" during the construction period, after obtaining project financing, in accordance with Note Q of Attachment H."</f>
        <v>1  The IRR is the input to Debt Cost shown on Attachment H, Page 4, Line 20 during the construction period, after obtaining project financing, in accordance with Note Q of Attachment H.</v>
      </c>
    </row>
    <row r="82" spans="2:10">
      <c r="B82" s="242" t="s">
        <v>779</v>
      </c>
    </row>
    <row r="83" spans="2:10">
      <c r="B83" s="242" t="s">
        <v>663</v>
      </c>
    </row>
    <row r="84" spans="2:10">
      <c r="B84" s="242" t="s">
        <v>664</v>
      </c>
    </row>
    <row r="85" spans="2:10">
      <c r="B85" s="242" t="s">
        <v>833</v>
      </c>
    </row>
    <row r="86" spans="2:10">
      <c r="B86" s="242" t="s">
        <v>665</v>
      </c>
    </row>
    <row r="87" spans="2:10">
      <c r="B87" s="242" t="s">
        <v>844</v>
      </c>
    </row>
    <row r="88" spans="2:10">
      <c r="B88" s="242" t="s">
        <v>666</v>
      </c>
    </row>
    <row r="89" spans="2:10">
      <c r="B89" s="242" t="s">
        <v>667</v>
      </c>
    </row>
    <row r="90" spans="2:10">
      <c r="B90" s="263" t="s">
        <v>897</v>
      </c>
    </row>
    <row r="91" spans="2:10">
      <c r="B91" s="242" t="s">
        <v>668</v>
      </c>
    </row>
    <row r="92" spans="2:10">
      <c r="B92" s="242" t="s">
        <v>780</v>
      </c>
    </row>
    <row r="93" spans="2:10">
      <c r="B93" s="242" t="s">
        <v>845</v>
      </c>
      <c r="E93" s="438"/>
      <c r="G93" s="438"/>
      <c r="H93" s="438"/>
      <c r="J93" s="438"/>
    </row>
    <row r="94" spans="2:10">
      <c r="B94" s="242" t="s">
        <v>834</v>
      </c>
      <c r="E94" s="616"/>
    </row>
    <row r="95" spans="2:10">
      <c r="B95" s="242" t="s">
        <v>835</v>
      </c>
      <c r="D95" s="616"/>
      <c r="E95" s="616"/>
    </row>
    <row r="96" spans="2:10">
      <c r="B96" s="242" t="s">
        <v>846</v>
      </c>
      <c r="D96" s="616"/>
      <c r="E96" s="616"/>
    </row>
    <row r="97" spans="2:10">
      <c r="B97" s="242" t="s">
        <v>781</v>
      </c>
      <c r="D97" s="616"/>
      <c r="E97" s="616"/>
    </row>
    <row r="98" spans="2:10">
      <c r="B98" s="242" t="s">
        <v>847</v>
      </c>
      <c r="D98" s="616"/>
      <c r="E98" s="616"/>
    </row>
    <row r="99" spans="2:10">
      <c r="B99" s="242" t="s">
        <v>848</v>
      </c>
      <c r="D99" s="616"/>
      <c r="E99" s="616"/>
    </row>
    <row r="100" spans="2:10">
      <c r="C100" s="242" t="s">
        <v>837</v>
      </c>
      <c r="E100" s="616"/>
    </row>
    <row r="101" spans="2:10">
      <c r="B101" s="620" t="s">
        <v>836</v>
      </c>
      <c r="C101" s="242" t="s">
        <v>838</v>
      </c>
      <c r="E101" s="616"/>
    </row>
    <row r="102" spans="2:10">
      <c r="B102" s="242" t="s">
        <v>782</v>
      </c>
      <c r="C102" s="619"/>
      <c r="D102" s="619"/>
    </row>
    <row r="103" spans="2:10" ht="12.75" customHeight="1">
      <c r="B103" s="242" t="s">
        <v>669</v>
      </c>
    </row>
    <row r="104" spans="2:10" ht="59.5" customHeight="1">
      <c r="B104" s="972" t="s">
        <v>1071</v>
      </c>
      <c r="C104" s="972"/>
      <c r="D104" s="972"/>
      <c r="E104" s="972"/>
      <c r="F104" s="972"/>
      <c r="G104" s="972"/>
      <c r="H104" s="972"/>
      <c r="I104" s="972"/>
      <c r="J104" s="972"/>
    </row>
    <row r="107" spans="2:10">
      <c r="D107" s="619"/>
    </row>
    <row r="115" spans="2:10">
      <c r="B115" s="263"/>
    </row>
    <row r="116" spans="2:10">
      <c r="E116" s="438"/>
      <c r="G116" s="438"/>
      <c r="H116" s="438"/>
      <c r="J116" s="438"/>
    </row>
    <row r="117" spans="2:10">
      <c r="D117" s="618"/>
      <c r="E117" s="618"/>
    </row>
    <row r="118" spans="2:10">
      <c r="D118" s="618"/>
      <c r="E118" s="618"/>
    </row>
    <row r="119" spans="2:10">
      <c r="D119" s="618"/>
      <c r="E119" s="618"/>
    </row>
    <row r="120" spans="2:10">
      <c r="D120" s="618"/>
      <c r="E120" s="618"/>
    </row>
    <row r="121" spans="2:10">
      <c r="D121" s="618"/>
      <c r="E121" s="618"/>
    </row>
    <row r="122" spans="2:10">
      <c r="D122" s="618"/>
      <c r="E122" s="618"/>
    </row>
    <row r="123" spans="2:10">
      <c r="D123" s="618"/>
      <c r="E123" s="618"/>
    </row>
    <row r="125" spans="2:10">
      <c r="B125" s="620"/>
    </row>
    <row r="126" spans="2:10">
      <c r="C126" s="619"/>
    </row>
    <row r="127" spans="2:10">
      <c r="C127" s="619"/>
    </row>
  </sheetData>
  <mergeCells count="6">
    <mergeCell ref="B104:J104"/>
    <mergeCell ref="G25:I25"/>
    <mergeCell ref="A2:J2"/>
    <mergeCell ref="A3:J3"/>
    <mergeCell ref="A4:J4"/>
    <mergeCell ref="H12:I12"/>
  </mergeCells>
  <printOptions horizontalCentered="1"/>
  <pageMargins left="0.25" right="0.25" top="0.75" bottom="0.75" header="0.3" footer="0.3"/>
  <pageSetup scale="47" orientation="portrait" r:id="rId1"/>
  <customProperties>
    <customPr name="_pios_id" r:id="rId2"/>
  </customProperties>
  <drawing r:id="rId3"/>
  <legacyDrawing r:id="rId4"/>
  <oleObjects>
    <mc:AlternateContent xmlns:mc="http://schemas.openxmlformats.org/markup-compatibility/2006">
      <mc:Choice Requires="x14">
        <oleObject progId="Equation.3" shapeId="37890" r:id="rId5">
          <objectPr defaultSize="0" autoPict="0" r:id="rId6">
            <anchor moveWithCells="1">
              <from>
                <xdr:col>1</xdr:col>
                <xdr:colOff>819150</xdr:colOff>
                <xdr:row>15</xdr:row>
                <xdr:rowOff>107950</xdr:rowOff>
              </from>
              <to>
                <xdr:col>4</xdr:col>
                <xdr:colOff>88900</xdr:colOff>
                <xdr:row>19</xdr:row>
                <xdr:rowOff>88900</xdr:rowOff>
              </to>
            </anchor>
          </objectPr>
        </oleObject>
      </mc:Choice>
      <mc:Fallback>
        <oleObject progId="Equation.3" shapeId="37890" r:id="rId5"/>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84424-6394-4A95-AC8A-E9069C26C1D2}">
  <sheetPr codeName="Sheet17"/>
  <dimension ref="A1:R255"/>
  <sheetViews>
    <sheetView workbookViewId="0"/>
  </sheetViews>
  <sheetFormatPr defaultColWidth="8.84375" defaultRowHeight="13"/>
  <cols>
    <col min="1" max="1" width="4.53515625" style="298" bestFit="1" customWidth="1"/>
    <col min="2" max="2" width="21.765625" style="15" customWidth="1"/>
    <col min="3" max="3" width="2.07421875" style="15" customWidth="1"/>
    <col min="4" max="4" width="26.3046875" style="15" customWidth="1"/>
    <col min="5" max="5" width="2.3046875" style="15" customWidth="1"/>
    <col min="6" max="6" width="26.23046875" style="15" customWidth="1"/>
    <col min="7" max="7" width="1.765625" style="15" customWidth="1"/>
    <col min="8" max="8" width="16.3046875" style="15" customWidth="1"/>
    <col min="9" max="9" width="2.23046875" style="15" customWidth="1"/>
    <col min="10" max="10" width="15.4609375" style="15" customWidth="1"/>
    <col min="11" max="11" width="2.4609375" style="15" customWidth="1"/>
    <col min="12" max="12" width="15" style="15" customWidth="1"/>
    <col min="13" max="13" width="2.07421875" style="15" customWidth="1"/>
    <col min="14" max="14" width="15.765625" style="15" customWidth="1"/>
    <col min="15" max="15" width="1.4609375" style="15" customWidth="1"/>
    <col min="16" max="16" width="20.3046875" style="15" customWidth="1"/>
    <col min="17" max="18" width="10.765625" style="15" bestFit="1" customWidth="1"/>
    <col min="19" max="16384" width="8.84375" style="15"/>
  </cols>
  <sheetData>
    <row r="1" spans="1:16">
      <c r="H1" s="298" t="s">
        <v>491</v>
      </c>
      <c r="P1" s="15" t="s">
        <v>943</v>
      </c>
    </row>
    <row r="2" spans="1:16">
      <c r="C2" s="795"/>
      <c r="D2" s="795"/>
      <c r="E2" s="795"/>
      <c r="F2" s="555"/>
      <c r="G2" s="795"/>
      <c r="H2" s="796" t="s">
        <v>490</v>
      </c>
      <c r="I2" s="795"/>
      <c r="J2" s="795"/>
      <c r="K2" s="795"/>
      <c r="L2" s="795"/>
      <c r="M2" s="795"/>
      <c r="N2" s="795"/>
    </row>
    <row r="3" spans="1:16">
      <c r="C3" s="555"/>
      <c r="D3" s="555"/>
      <c r="E3" s="555"/>
      <c r="F3" s="555"/>
      <c r="H3" s="298" t="str">
        <f>'Attachment H'!D5</f>
        <v>Gridliance High Plains LLC</v>
      </c>
      <c r="I3" s="555"/>
      <c r="J3" s="555"/>
      <c r="K3" s="555"/>
      <c r="L3" s="555"/>
      <c r="M3" s="555"/>
      <c r="N3" s="555"/>
    </row>
    <row r="4" spans="1:16">
      <c r="B4" s="997"/>
      <c r="C4" s="997"/>
      <c r="D4" s="997"/>
      <c r="E4" s="997"/>
      <c r="F4" s="997"/>
      <c r="G4" s="997"/>
      <c r="H4" s="997"/>
      <c r="I4" s="997"/>
      <c r="J4" s="997"/>
      <c r="K4" s="997"/>
      <c r="L4" s="997"/>
      <c r="M4" s="997"/>
      <c r="N4" s="997"/>
      <c r="O4" s="795"/>
      <c r="P4" s="795"/>
    </row>
    <row r="5" spans="1:16">
      <c r="B5" s="797"/>
      <c r="C5" s="797"/>
      <c r="D5" s="797"/>
      <c r="E5" s="797"/>
      <c r="F5" s="797"/>
      <c r="G5" s="797"/>
      <c r="H5" s="797"/>
      <c r="I5" s="797"/>
      <c r="J5" s="797"/>
      <c r="K5" s="797"/>
      <c r="L5" s="797"/>
      <c r="M5" s="797"/>
      <c r="N5" s="797"/>
      <c r="O5" s="795"/>
      <c r="P5" s="795"/>
    </row>
    <row r="6" spans="1:16" ht="14" thickBot="1">
      <c r="B6" s="798"/>
      <c r="C6" s="797"/>
      <c r="D6" s="797"/>
      <c r="E6" s="797"/>
      <c r="F6" s="797"/>
      <c r="G6" s="797"/>
      <c r="H6" s="797"/>
      <c r="I6" s="797"/>
      <c r="J6" s="797"/>
      <c r="K6" s="797"/>
      <c r="L6" s="797"/>
      <c r="M6" s="797"/>
      <c r="N6" s="797"/>
      <c r="O6" s="795"/>
      <c r="P6" s="795"/>
    </row>
    <row r="7" spans="1:16">
      <c r="B7" s="998" t="s">
        <v>153</v>
      </c>
      <c r="C7" s="999"/>
      <c r="D7" s="999"/>
      <c r="E7" s="999"/>
      <c r="F7" s="999"/>
      <c r="G7" s="999"/>
      <c r="H7" s="999"/>
      <c r="I7" s="999"/>
      <c r="J7" s="999"/>
      <c r="K7" s="999"/>
      <c r="L7" s="999"/>
      <c r="M7" s="999"/>
      <c r="N7" s="999"/>
      <c r="O7" s="999"/>
      <c r="P7" s="1000"/>
    </row>
    <row r="8" spans="1:16">
      <c r="B8" s="475" t="s">
        <v>292</v>
      </c>
      <c r="C8" s="650"/>
      <c r="D8" s="650" t="s">
        <v>293</v>
      </c>
      <c r="E8" s="650"/>
      <c r="F8" s="650" t="s">
        <v>294</v>
      </c>
      <c r="G8" s="797"/>
      <c r="H8" s="797" t="s">
        <v>295</v>
      </c>
      <c r="I8" s="797"/>
      <c r="J8" s="797" t="s">
        <v>297</v>
      </c>
      <c r="K8" s="797"/>
      <c r="L8" s="797" t="s">
        <v>296</v>
      </c>
      <c r="M8" s="797"/>
      <c r="N8" s="797" t="s">
        <v>298</v>
      </c>
      <c r="O8" s="797"/>
      <c r="P8" s="799" t="s">
        <v>299</v>
      </c>
    </row>
    <row r="9" spans="1:16" ht="88.5" customHeight="1">
      <c r="B9" s="800" t="s">
        <v>152</v>
      </c>
      <c r="C9" s="797"/>
      <c r="D9" s="801" t="s">
        <v>910</v>
      </c>
      <c r="E9" s="555"/>
      <c r="F9" s="801" t="s">
        <v>646</v>
      </c>
      <c r="G9" s="802"/>
      <c r="H9" s="801" t="s">
        <v>647</v>
      </c>
      <c r="I9" s="803"/>
      <c r="J9" s="801" t="s">
        <v>648</v>
      </c>
      <c r="K9" s="803"/>
      <c r="L9" s="801" t="s">
        <v>649</v>
      </c>
      <c r="N9" s="801" t="s">
        <v>900</v>
      </c>
      <c r="O9" s="795"/>
      <c r="P9" s="804" t="s">
        <v>909</v>
      </c>
    </row>
    <row r="10" spans="1:16">
      <c r="A10" s="662">
        <v>1</v>
      </c>
      <c r="B10" s="476"/>
      <c r="C10" s="304"/>
      <c r="D10" s="805"/>
      <c r="F10" s="805"/>
      <c r="G10" s="795"/>
      <c r="H10" s="806"/>
      <c r="I10" s="807"/>
      <c r="J10" s="806"/>
      <c r="K10" s="795"/>
      <c r="L10" s="436">
        <f t="shared" ref="L10:L15" si="0">H10-J10</f>
        <v>0</v>
      </c>
      <c r="N10" s="808"/>
      <c r="O10" s="795"/>
      <c r="P10" s="514">
        <f>N71</f>
        <v>0</v>
      </c>
    </row>
    <row r="11" spans="1:16">
      <c r="A11" s="656">
        <v>2</v>
      </c>
      <c r="B11" s="477"/>
      <c r="C11" s="809"/>
      <c r="D11" s="810"/>
      <c r="E11" s="795"/>
      <c r="F11" s="805"/>
      <c r="G11" s="795"/>
      <c r="H11" s="806"/>
      <c r="I11" s="795"/>
      <c r="J11" s="806"/>
      <c r="K11" s="795"/>
      <c r="L11" s="436">
        <f t="shared" si="0"/>
        <v>0</v>
      </c>
      <c r="M11" s="795"/>
      <c r="N11" s="808"/>
      <c r="O11" s="795"/>
      <c r="P11" s="514">
        <f>N120</f>
        <v>0</v>
      </c>
    </row>
    <row r="12" spans="1:16">
      <c r="A12" s="656">
        <v>3</v>
      </c>
      <c r="B12" s="477"/>
      <c r="C12" s="809"/>
      <c r="D12" s="810"/>
      <c r="E12" s="795"/>
      <c r="F12" s="805"/>
      <c r="G12" s="795"/>
      <c r="H12" s="806"/>
      <c r="I12" s="795"/>
      <c r="J12" s="806"/>
      <c r="K12" s="795"/>
      <c r="L12" s="436">
        <f t="shared" si="0"/>
        <v>0</v>
      </c>
      <c r="M12" s="795"/>
      <c r="N12" s="808"/>
      <c r="O12" s="795"/>
      <c r="P12" s="514">
        <f>N164</f>
        <v>0</v>
      </c>
    </row>
    <row r="13" spans="1:16">
      <c r="A13" s="656">
        <v>4</v>
      </c>
      <c r="B13" s="477"/>
      <c r="C13" s="809"/>
      <c r="D13" s="810"/>
      <c r="E13" s="795"/>
      <c r="F13" s="805"/>
      <c r="G13" s="795"/>
      <c r="H13" s="806"/>
      <c r="I13" s="795"/>
      <c r="J13" s="806"/>
      <c r="K13" s="795"/>
      <c r="L13" s="436">
        <f t="shared" si="0"/>
        <v>0</v>
      </c>
      <c r="M13" s="795"/>
      <c r="N13" s="808"/>
      <c r="O13" s="795"/>
      <c r="P13" s="514">
        <f>N211</f>
        <v>0</v>
      </c>
    </row>
    <row r="14" spans="1:16">
      <c r="A14" s="656">
        <v>5</v>
      </c>
      <c r="B14" s="477"/>
      <c r="C14" s="809" t="s">
        <v>170</v>
      </c>
      <c r="D14" s="810"/>
      <c r="E14" s="795"/>
      <c r="F14" s="805"/>
      <c r="G14" s="795"/>
      <c r="H14" s="806"/>
      <c r="I14" s="795"/>
      <c r="J14" s="806"/>
      <c r="K14" s="795"/>
      <c r="L14" s="436">
        <f t="shared" si="0"/>
        <v>0</v>
      </c>
      <c r="M14" s="795"/>
      <c r="N14" s="808"/>
      <c r="O14" s="795"/>
      <c r="P14" s="514">
        <f>N253</f>
        <v>0</v>
      </c>
    </row>
    <row r="15" spans="1:16">
      <c r="A15" s="656">
        <v>6</v>
      </c>
      <c r="B15" s="477"/>
      <c r="C15" s="809" t="s">
        <v>1125</v>
      </c>
      <c r="D15" s="811"/>
      <c r="E15" s="795"/>
      <c r="F15" s="805"/>
      <c r="G15" s="795"/>
      <c r="H15" s="806"/>
      <c r="I15" s="795"/>
      <c r="J15" s="806"/>
      <c r="K15" s="795"/>
      <c r="L15" s="436">
        <f t="shared" si="0"/>
        <v>0</v>
      </c>
      <c r="M15" s="795"/>
      <c r="N15" s="812"/>
      <c r="O15" s="795"/>
      <c r="P15" s="515"/>
    </row>
    <row r="16" spans="1:16">
      <c r="A16" s="656">
        <v>7</v>
      </c>
      <c r="B16" s="813"/>
      <c r="C16" s="795"/>
      <c r="D16" s="814"/>
      <c r="E16" s="795"/>
      <c r="F16" s="815"/>
      <c r="G16" s="795"/>
      <c r="H16" s="816"/>
      <c r="I16" s="795"/>
      <c r="J16" s="817"/>
      <c r="K16" s="795"/>
      <c r="L16" s="436"/>
      <c r="M16" s="795"/>
      <c r="N16" s="812"/>
      <c r="O16" s="795"/>
      <c r="P16" s="516">
        <f>SUM(P10:P15)</f>
        <v>0</v>
      </c>
    </row>
    <row r="17" spans="1:16" ht="13.5">
      <c r="A17" s="656">
        <v>8</v>
      </c>
      <c r="B17" s="818" t="s">
        <v>288</v>
      </c>
      <c r="C17" s="795"/>
      <c r="D17" s="795"/>
      <c r="E17" s="795"/>
      <c r="F17" s="795"/>
      <c r="G17" s="795"/>
      <c r="H17" s="795"/>
      <c r="I17" s="795"/>
      <c r="J17" s="795"/>
      <c r="K17" s="795"/>
      <c r="L17" s="795"/>
      <c r="M17" s="795"/>
      <c r="N17" s="812"/>
      <c r="O17" s="795"/>
      <c r="P17" s="819"/>
    </row>
    <row r="18" spans="1:16" ht="13.5">
      <c r="A18" s="656">
        <v>9</v>
      </c>
      <c r="B18" s="818" t="s">
        <v>541</v>
      </c>
      <c r="C18" s="795"/>
      <c r="D18" s="795"/>
      <c r="E18" s="795"/>
      <c r="F18" s="795"/>
      <c r="G18" s="795"/>
      <c r="H18" s="795"/>
      <c r="I18" s="795"/>
      <c r="J18" s="795"/>
      <c r="K18" s="795"/>
      <c r="L18" s="795"/>
      <c r="M18" s="795"/>
      <c r="N18" s="795"/>
      <c r="O18" s="795"/>
      <c r="P18" s="819"/>
    </row>
    <row r="19" spans="1:16" ht="13.5">
      <c r="A19" s="656">
        <v>10</v>
      </c>
      <c r="B19" s="818" t="s">
        <v>542</v>
      </c>
      <c r="C19" s="795"/>
      <c r="D19" s="795"/>
      <c r="E19" s="795"/>
      <c r="F19" s="795"/>
      <c r="G19" s="795"/>
      <c r="H19" s="795"/>
      <c r="I19" s="795"/>
      <c r="J19" s="795"/>
      <c r="K19" s="795"/>
      <c r="L19" s="795"/>
      <c r="M19" s="795"/>
      <c r="N19" s="795"/>
      <c r="O19" s="795"/>
      <c r="P19" s="819"/>
    </row>
    <row r="20" spans="1:16" ht="13.5">
      <c r="A20" s="656">
        <v>11</v>
      </c>
      <c r="B20" s="401"/>
      <c r="C20" s="795"/>
      <c r="D20" s="795"/>
      <c r="E20" s="795"/>
      <c r="F20" s="795"/>
      <c r="G20" s="795"/>
      <c r="H20" s="795"/>
      <c r="I20" s="795"/>
      <c r="J20" s="795"/>
      <c r="K20" s="795"/>
      <c r="L20" s="795"/>
      <c r="M20" s="795"/>
      <c r="N20" s="795"/>
      <c r="O20" s="795"/>
      <c r="P20" s="819"/>
    </row>
    <row r="21" spans="1:16" ht="13.5">
      <c r="A21" s="656">
        <v>12</v>
      </c>
      <c r="B21" s="818"/>
      <c r="C21" s="795"/>
      <c r="D21" s="795"/>
      <c r="E21" s="795"/>
      <c r="F21" s="795"/>
      <c r="G21" s="795"/>
      <c r="H21" s="795"/>
      <c r="I21" s="795"/>
      <c r="J21" s="795"/>
      <c r="K21" s="795"/>
      <c r="L21" s="795"/>
      <c r="M21" s="795"/>
      <c r="N21" s="795"/>
      <c r="O21" s="795"/>
      <c r="P21" s="819"/>
    </row>
    <row r="22" spans="1:16">
      <c r="A22" s="656">
        <v>13</v>
      </c>
      <c r="B22" s="820"/>
      <c r="C22" s="821"/>
      <c r="E22" s="795"/>
      <c r="F22" s="795"/>
      <c r="G22" s="795"/>
      <c r="H22" s="795"/>
      <c r="I22" s="795"/>
      <c r="J22" s="795"/>
      <c r="K22" s="795"/>
      <c r="L22" s="795"/>
      <c r="M22" s="795"/>
      <c r="N22" s="795"/>
      <c r="O22" s="795"/>
      <c r="P22" s="819"/>
    </row>
    <row r="23" spans="1:16">
      <c r="A23" s="656">
        <v>14</v>
      </c>
      <c r="B23" s="822"/>
      <c r="C23" s="823"/>
      <c r="D23" s="796"/>
      <c r="E23" s="796"/>
      <c r="F23" s="823"/>
      <c r="G23" s="823"/>
      <c r="H23" s="796"/>
      <c r="I23" s="796"/>
      <c r="J23" s="823"/>
      <c r="K23" s="823"/>
      <c r="L23" s="795"/>
      <c r="M23" s="795"/>
      <c r="N23" s="795"/>
      <c r="O23" s="795"/>
      <c r="P23" s="819"/>
    </row>
    <row r="24" spans="1:16" ht="13.5" thickBot="1">
      <c r="A24" s="656">
        <v>15</v>
      </c>
      <c r="B24" s="824"/>
      <c r="C24" s="825"/>
      <c r="D24" s="826"/>
      <c r="E24" s="826"/>
      <c r="F24" s="825"/>
      <c r="G24" s="825"/>
      <c r="H24" s="826"/>
      <c r="I24" s="826"/>
      <c r="J24" s="825"/>
      <c r="K24" s="825"/>
      <c r="L24" s="827"/>
      <c r="M24" s="827"/>
      <c r="N24" s="827"/>
      <c r="O24" s="827"/>
      <c r="P24" s="828"/>
    </row>
    <row r="25" spans="1:16" ht="35.25" customHeight="1">
      <c r="A25" s="656">
        <v>16</v>
      </c>
      <c r="B25" s="1001" t="s">
        <v>1126</v>
      </c>
      <c r="C25" s="1001"/>
      <c r="D25" s="1001"/>
      <c r="E25" s="1001"/>
      <c r="F25" s="1001"/>
      <c r="G25" s="1001"/>
      <c r="H25" s="1001"/>
      <c r="I25" s="1001"/>
      <c r="J25" s="1001"/>
      <c r="K25" s="1001"/>
      <c r="L25" s="1001"/>
      <c r="M25" s="1001"/>
      <c r="N25" s="1001"/>
      <c r="O25" s="1001"/>
      <c r="P25" s="1001"/>
    </row>
    <row r="26" spans="1:16" ht="53.25" customHeight="1">
      <c r="A26" s="656">
        <v>17</v>
      </c>
      <c r="B26" s="829" t="s">
        <v>154</v>
      </c>
      <c r="C26" s="829"/>
      <c r="D26" s="796"/>
      <c r="E26" s="796"/>
      <c r="F26" s="803" t="s">
        <v>898</v>
      </c>
      <c r="G26" s="823"/>
      <c r="H26" s="803" t="s">
        <v>140</v>
      </c>
      <c r="I26" s="803"/>
      <c r="J26" s="797" t="s">
        <v>141</v>
      </c>
      <c r="K26" s="797"/>
      <c r="L26" s="790" t="s">
        <v>1127</v>
      </c>
      <c r="M26" s="790"/>
      <c r="N26" s="803" t="s">
        <v>142</v>
      </c>
      <c r="O26" s="830"/>
      <c r="P26" s="803" t="s">
        <v>143</v>
      </c>
    </row>
    <row r="27" spans="1:16">
      <c r="A27" s="656">
        <v>18</v>
      </c>
      <c r="B27" s="829"/>
      <c r="C27" s="829"/>
      <c r="D27" s="796"/>
      <c r="E27" s="796"/>
      <c r="F27" s="796"/>
      <c r="G27" s="648"/>
      <c r="H27" s="648" t="s">
        <v>901</v>
      </c>
      <c r="I27" s="264"/>
      <c r="J27" s="823"/>
      <c r="K27" s="823"/>
      <c r="L27" s="795"/>
      <c r="M27" s="795"/>
      <c r="N27" s="795"/>
      <c r="O27" s="795"/>
      <c r="P27" s="795"/>
    </row>
    <row r="28" spans="1:16">
      <c r="A28" s="656">
        <v>19</v>
      </c>
      <c r="B28" s="829"/>
      <c r="C28" s="829"/>
      <c r="D28" s="796"/>
      <c r="E28" s="796"/>
      <c r="F28" s="796" t="s">
        <v>949</v>
      </c>
      <c r="G28" s="648"/>
      <c r="H28" s="796" t="s">
        <v>902</v>
      </c>
      <c r="I28" s="264"/>
      <c r="J28" s="823"/>
      <c r="K28" s="823"/>
      <c r="L28" s="796" t="s">
        <v>904</v>
      </c>
      <c r="M28" s="795"/>
      <c r="N28" s="795"/>
      <c r="O28" s="795"/>
      <c r="P28" s="795"/>
    </row>
    <row r="29" spans="1:16">
      <c r="A29" s="656">
        <v>20</v>
      </c>
      <c r="B29" s="831" t="s">
        <v>10</v>
      </c>
      <c r="C29" s="831"/>
      <c r="D29" s="796"/>
      <c r="E29" s="796"/>
      <c r="F29" s="298" t="s">
        <v>950</v>
      </c>
      <c r="G29" s="796"/>
      <c r="H29" s="298" t="s">
        <v>899</v>
      </c>
      <c r="I29" s="796"/>
      <c r="J29" s="796" t="s">
        <v>903</v>
      </c>
      <c r="K29" s="795"/>
      <c r="L29" s="796" t="s">
        <v>905</v>
      </c>
      <c r="M29" s="795"/>
      <c r="N29" s="795"/>
      <c r="O29" s="795"/>
      <c r="P29" s="795"/>
    </row>
    <row r="30" spans="1:16">
      <c r="A30" s="656">
        <v>21</v>
      </c>
      <c r="B30" s="832" t="s">
        <v>543</v>
      </c>
      <c r="C30" s="833"/>
      <c r="D30" s="834"/>
      <c r="E30" s="834"/>
      <c r="F30" s="834"/>
      <c r="G30" s="834"/>
      <c r="H30" s="835"/>
      <c r="I30" s="835"/>
      <c r="J30" s="835"/>
      <c r="K30" s="835"/>
      <c r="L30" s="836"/>
      <c r="M30" s="836"/>
      <c r="N30" s="834"/>
      <c r="O30" s="834"/>
      <c r="P30" s="837"/>
    </row>
    <row r="31" spans="1:16">
      <c r="A31" s="656">
        <v>22</v>
      </c>
      <c r="B31" s="838"/>
      <c r="C31" s="839"/>
      <c r="D31" s="796"/>
      <c r="E31" s="796"/>
      <c r="F31" s="796"/>
      <c r="G31" s="796"/>
      <c r="H31" s="795"/>
      <c r="I31" s="795"/>
      <c r="J31" s="795"/>
      <c r="K31" s="795"/>
      <c r="L31" s="797" t="s">
        <v>144</v>
      </c>
      <c r="M31" s="797"/>
      <c r="N31" s="796"/>
      <c r="O31" s="796"/>
      <c r="P31" s="840"/>
    </row>
    <row r="32" spans="1:16">
      <c r="A32" s="656">
        <v>23</v>
      </c>
      <c r="B32" s="841"/>
      <c r="C32" s="839"/>
      <c r="D32" s="796"/>
      <c r="E32" s="796"/>
      <c r="F32" s="796"/>
      <c r="G32" s="796"/>
      <c r="H32" s="795"/>
      <c r="I32" s="795"/>
      <c r="J32" s="795"/>
      <c r="K32" s="795"/>
      <c r="L32" s="797"/>
      <c r="M32" s="797"/>
      <c r="N32" s="796"/>
      <c r="O32" s="796"/>
      <c r="P32" s="840"/>
    </row>
    <row r="33" spans="1:16">
      <c r="A33" s="656">
        <v>24</v>
      </c>
      <c r="B33" s="842" t="s">
        <v>105</v>
      </c>
      <c r="C33" s="795"/>
      <c r="D33" s="795" t="s">
        <v>171</v>
      </c>
      <c r="E33" s="795"/>
      <c r="F33" s="843"/>
      <c r="G33" s="265"/>
      <c r="H33" s="844"/>
      <c r="I33" s="845"/>
      <c r="J33" s="846">
        <v>12</v>
      </c>
      <c r="K33" s="795"/>
      <c r="L33" s="265">
        <f t="shared" ref="L33:L44" si="1">H33*F33*J33*-1</f>
        <v>0</v>
      </c>
      <c r="M33" s="265"/>
      <c r="N33" s="265"/>
      <c r="O33" s="265"/>
      <c r="P33" s="266">
        <f t="shared" ref="P33:P44" si="2">(-L33+F33)*-1</f>
        <v>0</v>
      </c>
    </row>
    <row r="34" spans="1:16">
      <c r="A34" s="656">
        <v>25</v>
      </c>
      <c r="B34" s="842" t="s">
        <v>104</v>
      </c>
      <c r="C34" s="795"/>
      <c r="D34" s="795" t="str">
        <f t="shared" ref="D34:D44" si="3">D33</f>
        <v>Year 2015</v>
      </c>
      <c r="E34" s="795"/>
      <c r="F34" s="843"/>
      <c r="G34" s="265"/>
      <c r="H34" s="844"/>
      <c r="I34" s="845"/>
      <c r="J34" s="847">
        <f t="shared" ref="J34:J44" si="4">+J33-1</f>
        <v>11</v>
      </c>
      <c r="L34" s="265">
        <f t="shared" si="1"/>
        <v>0</v>
      </c>
      <c r="M34" s="265"/>
      <c r="N34" s="265"/>
      <c r="O34" s="265"/>
      <c r="P34" s="266">
        <f t="shared" si="2"/>
        <v>0</v>
      </c>
    </row>
    <row r="35" spans="1:16">
      <c r="A35" s="656">
        <v>26</v>
      </c>
      <c r="B35" s="842" t="s">
        <v>103</v>
      </c>
      <c r="C35" s="795"/>
      <c r="D35" s="795" t="str">
        <f t="shared" si="3"/>
        <v>Year 2015</v>
      </c>
      <c r="E35" s="795"/>
      <c r="F35" s="843"/>
      <c r="G35" s="265"/>
      <c r="H35" s="844"/>
      <c r="I35" s="845"/>
      <c r="J35" s="847">
        <f t="shared" si="4"/>
        <v>10</v>
      </c>
      <c r="L35" s="265">
        <f t="shared" si="1"/>
        <v>0</v>
      </c>
      <c r="M35" s="265"/>
      <c r="N35" s="265"/>
      <c r="O35" s="265"/>
      <c r="P35" s="266">
        <f t="shared" si="2"/>
        <v>0</v>
      </c>
    </row>
    <row r="36" spans="1:16">
      <c r="A36" s="656">
        <v>27</v>
      </c>
      <c r="B36" s="842" t="s">
        <v>95</v>
      </c>
      <c r="C36" s="795"/>
      <c r="D36" s="795" t="str">
        <f t="shared" si="3"/>
        <v>Year 2015</v>
      </c>
      <c r="E36" s="795"/>
      <c r="F36" s="843"/>
      <c r="G36" s="265"/>
      <c r="H36" s="844"/>
      <c r="I36" s="845"/>
      <c r="J36" s="847">
        <f t="shared" si="4"/>
        <v>9</v>
      </c>
      <c r="L36" s="265">
        <f t="shared" si="1"/>
        <v>0</v>
      </c>
      <c r="M36" s="265"/>
      <c r="N36" s="265"/>
      <c r="O36" s="265"/>
      <c r="P36" s="266">
        <f t="shared" si="2"/>
        <v>0</v>
      </c>
    </row>
    <row r="37" spans="1:16">
      <c r="A37" s="656">
        <v>28</v>
      </c>
      <c r="B37" s="842" t="s">
        <v>92</v>
      </c>
      <c r="C37" s="795"/>
      <c r="D37" s="795" t="str">
        <f t="shared" si="3"/>
        <v>Year 2015</v>
      </c>
      <c r="E37" s="795"/>
      <c r="F37" s="843"/>
      <c r="G37" s="265"/>
      <c r="H37" s="844"/>
      <c r="I37" s="845"/>
      <c r="J37" s="847">
        <f t="shared" si="4"/>
        <v>8</v>
      </c>
      <c r="L37" s="265">
        <f t="shared" si="1"/>
        <v>0</v>
      </c>
      <c r="M37" s="265"/>
      <c r="N37" s="265"/>
      <c r="O37" s="265"/>
      <c r="P37" s="266">
        <f t="shared" si="2"/>
        <v>0</v>
      </c>
    </row>
    <row r="38" spans="1:16">
      <c r="A38" s="656">
        <v>29</v>
      </c>
      <c r="B38" s="842" t="s">
        <v>145</v>
      </c>
      <c r="C38" s="795"/>
      <c r="D38" s="795" t="str">
        <f t="shared" si="3"/>
        <v>Year 2015</v>
      </c>
      <c r="E38" s="795"/>
      <c r="F38" s="843"/>
      <c r="G38" s="265"/>
      <c r="H38" s="844"/>
      <c r="I38" s="845"/>
      <c r="J38" s="847">
        <f t="shared" si="4"/>
        <v>7</v>
      </c>
      <c r="L38" s="265">
        <f t="shared" si="1"/>
        <v>0</v>
      </c>
      <c r="M38" s="265"/>
      <c r="N38" s="265"/>
      <c r="O38" s="265"/>
      <c r="P38" s="266">
        <f t="shared" si="2"/>
        <v>0</v>
      </c>
    </row>
    <row r="39" spans="1:16">
      <c r="A39" s="656">
        <v>30</v>
      </c>
      <c r="B39" s="842" t="s">
        <v>102</v>
      </c>
      <c r="C39" s="795"/>
      <c r="D39" s="795" t="str">
        <f t="shared" si="3"/>
        <v>Year 2015</v>
      </c>
      <c r="E39" s="795"/>
      <c r="F39" s="843"/>
      <c r="G39" s="265"/>
      <c r="H39" s="844"/>
      <c r="I39" s="845"/>
      <c r="J39" s="847">
        <f t="shared" si="4"/>
        <v>6</v>
      </c>
      <c r="L39" s="265">
        <f t="shared" si="1"/>
        <v>0</v>
      </c>
      <c r="M39" s="265"/>
      <c r="N39" s="265"/>
      <c r="O39" s="265"/>
      <c r="P39" s="266">
        <f t="shared" si="2"/>
        <v>0</v>
      </c>
    </row>
    <row r="40" spans="1:16">
      <c r="A40" s="656">
        <v>31</v>
      </c>
      <c r="B40" s="842" t="s">
        <v>101</v>
      </c>
      <c r="C40" s="795"/>
      <c r="D40" s="795" t="str">
        <f t="shared" si="3"/>
        <v>Year 2015</v>
      </c>
      <c r="E40" s="795"/>
      <c r="F40" s="843"/>
      <c r="G40" s="265"/>
      <c r="H40" s="844"/>
      <c r="I40" s="845"/>
      <c r="J40" s="847">
        <f t="shared" si="4"/>
        <v>5</v>
      </c>
      <c r="L40" s="265">
        <f t="shared" si="1"/>
        <v>0</v>
      </c>
      <c r="M40" s="265"/>
      <c r="N40" s="265"/>
      <c r="O40" s="265"/>
      <c r="P40" s="266">
        <f t="shared" si="2"/>
        <v>0</v>
      </c>
    </row>
    <row r="41" spans="1:16">
      <c r="A41" s="656">
        <v>32</v>
      </c>
      <c r="B41" s="842" t="s">
        <v>100</v>
      </c>
      <c r="C41" s="795"/>
      <c r="D41" s="795" t="str">
        <f t="shared" si="3"/>
        <v>Year 2015</v>
      </c>
      <c r="E41" s="795"/>
      <c r="F41" s="843"/>
      <c r="G41" s="265"/>
      <c r="H41" s="844"/>
      <c r="I41" s="845"/>
      <c r="J41" s="847">
        <f t="shared" si="4"/>
        <v>4</v>
      </c>
      <c r="L41" s="265">
        <f t="shared" si="1"/>
        <v>0</v>
      </c>
      <c r="M41" s="265"/>
      <c r="N41" s="265"/>
      <c r="O41" s="265"/>
      <c r="P41" s="266">
        <f t="shared" si="2"/>
        <v>0</v>
      </c>
    </row>
    <row r="42" spans="1:16">
      <c r="A42" s="656">
        <v>33</v>
      </c>
      <c r="B42" s="842" t="s">
        <v>106</v>
      </c>
      <c r="C42" s="795"/>
      <c r="D42" s="795" t="str">
        <f t="shared" si="3"/>
        <v>Year 2015</v>
      </c>
      <c r="E42" s="795"/>
      <c r="F42" s="843"/>
      <c r="G42" s="265"/>
      <c r="H42" s="844"/>
      <c r="I42" s="845"/>
      <c r="J42" s="847">
        <f t="shared" si="4"/>
        <v>3</v>
      </c>
      <c r="L42" s="265">
        <f t="shared" si="1"/>
        <v>0</v>
      </c>
      <c r="M42" s="265"/>
      <c r="N42" s="265"/>
      <c r="O42" s="265"/>
      <c r="P42" s="266">
        <f t="shared" si="2"/>
        <v>0</v>
      </c>
    </row>
    <row r="43" spans="1:16">
      <c r="A43" s="656">
        <v>34</v>
      </c>
      <c r="B43" s="842" t="s">
        <v>99</v>
      </c>
      <c r="C43" s="795"/>
      <c r="D43" s="795" t="str">
        <f t="shared" si="3"/>
        <v>Year 2015</v>
      </c>
      <c r="E43" s="795"/>
      <c r="F43" s="843"/>
      <c r="G43" s="265"/>
      <c r="H43" s="844"/>
      <c r="I43" s="845"/>
      <c r="J43" s="847">
        <f t="shared" si="4"/>
        <v>2</v>
      </c>
      <c r="L43" s="265">
        <f t="shared" si="1"/>
        <v>0</v>
      </c>
      <c r="M43" s="265"/>
      <c r="N43" s="265"/>
      <c r="O43" s="265"/>
      <c r="P43" s="266">
        <f t="shared" si="2"/>
        <v>0</v>
      </c>
    </row>
    <row r="44" spans="1:16">
      <c r="A44" s="656">
        <v>35</v>
      </c>
      <c r="B44" s="842" t="s">
        <v>98</v>
      </c>
      <c r="C44" s="795"/>
      <c r="D44" s="795" t="str">
        <f t="shared" si="3"/>
        <v>Year 2015</v>
      </c>
      <c r="E44" s="795"/>
      <c r="F44" s="843"/>
      <c r="G44" s="265"/>
      <c r="H44" s="844"/>
      <c r="I44" s="845"/>
      <c r="J44" s="847">
        <f t="shared" si="4"/>
        <v>1</v>
      </c>
      <c r="L44" s="267">
        <f t="shared" si="1"/>
        <v>0</v>
      </c>
      <c r="M44" s="265"/>
      <c r="N44" s="265"/>
      <c r="O44" s="265"/>
      <c r="P44" s="266">
        <f t="shared" si="2"/>
        <v>0</v>
      </c>
    </row>
    <row r="45" spans="1:16">
      <c r="A45" s="656">
        <v>36</v>
      </c>
      <c r="B45" s="842"/>
      <c r="C45" s="795"/>
      <c r="D45" s="795"/>
      <c r="E45" s="795"/>
      <c r="F45" s="265"/>
      <c r="G45" s="265"/>
      <c r="H45" s="845"/>
      <c r="I45" s="845"/>
      <c r="L45" s="265">
        <f>SUM(L33:L44)</f>
        <v>0</v>
      </c>
      <c r="M45" s="265"/>
      <c r="N45" s="265"/>
      <c r="O45" s="265"/>
      <c r="P45" s="268">
        <f>SUM(P33:P44)</f>
        <v>0</v>
      </c>
    </row>
    <row r="46" spans="1:16">
      <c r="A46" s="656">
        <v>37</v>
      </c>
      <c r="B46" s="842"/>
      <c r="C46" s="795"/>
      <c r="D46" s="795"/>
      <c r="E46" s="795"/>
      <c r="F46" s="265"/>
      <c r="G46" s="265"/>
      <c r="H46" s="845"/>
      <c r="I46" s="845"/>
      <c r="L46" s="265"/>
      <c r="M46" s="265"/>
      <c r="N46" s="265"/>
      <c r="O46" s="265"/>
      <c r="P46" s="268"/>
    </row>
    <row r="47" spans="1:16">
      <c r="A47" s="656">
        <v>38</v>
      </c>
      <c r="B47" s="842"/>
      <c r="C47" s="795"/>
      <c r="D47" s="795"/>
      <c r="E47" s="795"/>
      <c r="F47" s="265"/>
      <c r="G47" s="265"/>
      <c r="H47" s="845"/>
      <c r="I47" s="845"/>
      <c r="L47" s="119" t="s">
        <v>1128</v>
      </c>
      <c r="M47" s="265"/>
      <c r="N47" s="265"/>
      <c r="O47" s="265"/>
      <c r="P47" s="268"/>
    </row>
    <row r="48" spans="1:16">
      <c r="A48" s="656">
        <v>39</v>
      </c>
      <c r="B48" s="842"/>
      <c r="C48" s="795"/>
      <c r="D48" s="795"/>
      <c r="E48" s="795"/>
      <c r="F48" s="265"/>
      <c r="G48" s="265"/>
      <c r="H48" s="845"/>
      <c r="I48" s="845"/>
      <c r="L48" s="119"/>
      <c r="M48" s="265"/>
      <c r="N48" s="265"/>
      <c r="O48" s="265"/>
      <c r="P48" s="268"/>
    </row>
    <row r="49" spans="1:18">
      <c r="A49" s="656">
        <v>40</v>
      </c>
      <c r="B49" s="842" t="s">
        <v>146</v>
      </c>
      <c r="C49" s="795"/>
      <c r="D49" s="795" t="s">
        <v>169</v>
      </c>
      <c r="E49" s="795"/>
      <c r="F49" s="265">
        <f>P45</f>
        <v>0</v>
      </c>
      <c r="G49" s="265"/>
      <c r="H49" s="844"/>
      <c r="I49" s="845"/>
      <c r="J49" s="846">
        <v>12</v>
      </c>
      <c r="K49" s="795"/>
      <c r="L49" s="265">
        <f>+J49*H49*F49</f>
        <v>0</v>
      </c>
      <c r="M49" s="265"/>
      <c r="N49" s="265" t="s">
        <v>10</v>
      </c>
      <c r="O49" s="265"/>
      <c r="P49" s="268">
        <f>+F49+L49</f>
        <v>0</v>
      </c>
    </row>
    <row r="50" spans="1:18">
      <c r="A50" s="656">
        <v>41</v>
      </c>
      <c r="B50" s="842" t="s">
        <v>146</v>
      </c>
      <c r="C50" s="795"/>
      <c r="D50" s="795" t="s">
        <v>168</v>
      </c>
      <c r="E50" s="795"/>
      <c r="F50" s="823">
        <f>P49</f>
        <v>0</v>
      </c>
      <c r="G50" s="823"/>
      <c r="H50" s="844"/>
      <c r="I50" s="845"/>
      <c r="J50" s="846">
        <v>12</v>
      </c>
      <c r="K50" s="795"/>
      <c r="L50" s="265">
        <f>+J50*H50*F50</f>
        <v>0</v>
      </c>
      <c r="M50" s="265"/>
      <c r="N50" s="265"/>
      <c r="O50" s="265"/>
      <c r="P50" s="268">
        <f>+F50+L50</f>
        <v>0</v>
      </c>
    </row>
    <row r="51" spans="1:18">
      <c r="A51" s="656">
        <v>42</v>
      </c>
      <c r="B51" s="842" t="s">
        <v>146</v>
      </c>
      <c r="C51" s="795"/>
      <c r="D51" s="15" t="s">
        <v>172</v>
      </c>
      <c r="E51" s="795"/>
      <c r="F51" s="823">
        <f>P50</f>
        <v>0</v>
      </c>
      <c r="G51" s="823"/>
      <c r="H51" s="844"/>
      <c r="I51" s="845"/>
      <c r="J51" s="846">
        <v>12</v>
      </c>
      <c r="K51" s="795"/>
      <c r="L51" s="265">
        <f>+J51*H51*F51</f>
        <v>0</v>
      </c>
      <c r="M51" s="265"/>
      <c r="N51" s="265"/>
      <c r="O51" s="265"/>
      <c r="P51" s="268">
        <f>+F51+L51</f>
        <v>0</v>
      </c>
    </row>
    <row r="52" spans="1:18">
      <c r="A52" s="656">
        <v>43</v>
      </c>
      <c r="B52" s="842" t="s">
        <v>146</v>
      </c>
      <c r="C52" s="795"/>
      <c r="D52" s="795" t="s">
        <v>484</v>
      </c>
      <c r="E52" s="795"/>
      <c r="F52" s="823">
        <f>P51</f>
        <v>0</v>
      </c>
      <c r="G52" s="823"/>
      <c r="H52" s="844"/>
      <c r="I52" s="845"/>
      <c r="J52" s="846">
        <v>12</v>
      </c>
      <c r="K52" s="795"/>
      <c r="L52" s="265">
        <f>+J52*H52*F52</f>
        <v>0</v>
      </c>
      <c r="M52" s="265"/>
      <c r="N52" s="265"/>
      <c r="O52" s="265"/>
      <c r="P52" s="268">
        <f>+F52+L52</f>
        <v>0</v>
      </c>
    </row>
    <row r="53" spans="1:18">
      <c r="A53" s="656">
        <v>44</v>
      </c>
      <c r="B53" s="842" t="s">
        <v>146</v>
      </c>
      <c r="C53" s="795"/>
      <c r="D53" s="795" t="s">
        <v>485</v>
      </c>
      <c r="E53" s="795"/>
      <c r="F53" s="823">
        <f>P52</f>
        <v>0</v>
      </c>
      <c r="G53" s="823"/>
      <c r="H53" s="844"/>
      <c r="I53" s="845"/>
      <c r="J53" s="846">
        <v>12</v>
      </c>
      <c r="K53" s="795"/>
      <c r="L53" s="265">
        <f>+J53*H53*F53</f>
        <v>0</v>
      </c>
      <c r="M53" s="265"/>
      <c r="N53" s="265"/>
      <c r="O53" s="265"/>
      <c r="P53" s="268">
        <f>+F53+L53</f>
        <v>0</v>
      </c>
    </row>
    <row r="54" spans="1:18">
      <c r="A54" s="656">
        <v>45</v>
      </c>
      <c r="B54" s="842"/>
      <c r="C54" s="795"/>
      <c r="D54" s="795"/>
      <c r="E54" s="795"/>
      <c r="F54" s="823"/>
      <c r="G54" s="823"/>
      <c r="H54" s="845"/>
      <c r="I54" s="845"/>
      <c r="J54" s="795"/>
      <c r="K54" s="795"/>
      <c r="L54" s="265"/>
      <c r="M54" s="265"/>
      <c r="N54" s="265"/>
      <c r="O54" s="265"/>
      <c r="P54" s="268"/>
    </row>
    <row r="55" spans="1:18">
      <c r="A55" s="656">
        <v>46</v>
      </c>
      <c r="B55" s="842"/>
      <c r="C55" s="795"/>
      <c r="D55" s="795"/>
      <c r="E55" s="795"/>
      <c r="F55" s="823"/>
      <c r="G55" s="823"/>
      <c r="H55" s="845"/>
      <c r="I55" s="845"/>
      <c r="J55" s="795"/>
      <c r="K55" s="795"/>
      <c r="L55" s="265"/>
      <c r="M55" s="265"/>
      <c r="N55" s="265"/>
      <c r="O55" s="265"/>
      <c r="P55" s="266"/>
    </row>
    <row r="56" spans="1:18">
      <c r="A56" s="656">
        <v>47</v>
      </c>
      <c r="B56" s="848" t="s">
        <v>147</v>
      </c>
      <c r="C56" s="849"/>
      <c r="D56" s="795"/>
      <c r="E56" s="795"/>
      <c r="F56" s="265"/>
      <c r="G56" s="265"/>
      <c r="H56" s="845"/>
      <c r="I56" s="845"/>
      <c r="J56" s="795"/>
      <c r="K56" s="795"/>
      <c r="L56" s="119" t="s">
        <v>144</v>
      </c>
      <c r="M56" s="119"/>
      <c r="N56" s="265"/>
      <c r="O56" s="265"/>
      <c r="P56" s="266"/>
    </row>
    <row r="57" spans="1:18">
      <c r="A57" s="656">
        <v>48</v>
      </c>
      <c r="B57" s="842" t="s">
        <v>105</v>
      </c>
      <c r="C57" s="795"/>
      <c r="D57" s="795" t="s">
        <v>486</v>
      </c>
      <c r="E57" s="795"/>
      <c r="F57" s="850">
        <f>-P53</f>
        <v>0</v>
      </c>
      <c r="G57" s="823"/>
      <c r="H57" s="844"/>
      <c r="I57" s="845"/>
      <c r="J57" s="795"/>
      <c r="K57" s="795"/>
      <c r="L57" s="265">
        <f t="shared" ref="L57:L68" si="5" xml:space="preserve"> -H57*F57</f>
        <v>0</v>
      </c>
      <c r="M57" s="265"/>
      <c r="N57" s="265">
        <f>-PMT(H57,12,P53)</f>
        <v>0</v>
      </c>
      <c r="O57" s="265"/>
      <c r="P57" s="266">
        <f t="shared" ref="P57:P68" si="6">(+F57+F57*H57+N57)*-1</f>
        <v>0</v>
      </c>
      <c r="Q57" s="823"/>
      <c r="R57" s="605"/>
    </row>
    <row r="58" spans="1:18">
      <c r="A58" s="656">
        <v>49</v>
      </c>
      <c r="B58" s="842" t="s">
        <v>104</v>
      </c>
      <c r="C58" s="795"/>
      <c r="D58" s="795" t="str">
        <f>+D57</f>
        <v>Year 2021</v>
      </c>
      <c r="E58" s="795"/>
      <c r="F58" s="823">
        <f t="shared" ref="F58:F68" si="7">-P57</f>
        <v>0</v>
      </c>
      <c r="G58" s="823"/>
      <c r="H58" s="844"/>
      <c r="I58" s="845"/>
      <c r="J58" s="795"/>
      <c r="K58" s="795"/>
      <c r="L58" s="265">
        <f t="shared" si="5"/>
        <v>0</v>
      </c>
      <c r="M58" s="265"/>
      <c r="N58" s="265">
        <f t="shared" ref="N58:N68" si="8">N57</f>
        <v>0</v>
      </c>
      <c r="O58" s="265"/>
      <c r="P58" s="266">
        <f t="shared" si="6"/>
        <v>0</v>
      </c>
      <c r="Q58" s="823"/>
      <c r="R58" s="605"/>
    </row>
    <row r="59" spans="1:18">
      <c r="A59" s="656">
        <v>50</v>
      </c>
      <c r="B59" s="842" t="s">
        <v>103</v>
      </c>
      <c r="C59" s="795"/>
      <c r="D59" s="795" t="str">
        <f>+D58</f>
        <v>Year 2021</v>
      </c>
      <c r="E59" s="795"/>
      <c r="F59" s="823">
        <f t="shared" si="7"/>
        <v>0</v>
      </c>
      <c r="G59" s="823"/>
      <c r="H59" s="844"/>
      <c r="I59" s="845"/>
      <c r="J59" s="795"/>
      <c r="K59" s="795"/>
      <c r="L59" s="265">
        <f t="shared" si="5"/>
        <v>0</v>
      </c>
      <c r="M59" s="265"/>
      <c r="N59" s="265">
        <f t="shared" si="8"/>
        <v>0</v>
      </c>
      <c r="O59" s="265"/>
      <c r="P59" s="266">
        <f t="shared" si="6"/>
        <v>0</v>
      </c>
      <c r="Q59" s="823"/>
      <c r="R59" s="605"/>
    </row>
    <row r="60" spans="1:18">
      <c r="A60" s="656">
        <v>51</v>
      </c>
      <c r="B60" s="842" t="s">
        <v>95</v>
      </c>
      <c r="C60" s="795"/>
      <c r="D60" s="795" t="str">
        <f>+D59</f>
        <v>Year 2021</v>
      </c>
      <c r="E60" s="795"/>
      <c r="F60" s="823">
        <f t="shared" si="7"/>
        <v>0</v>
      </c>
      <c r="G60" s="823"/>
      <c r="H60" s="844"/>
      <c r="I60" s="845"/>
      <c r="J60" s="795"/>
      <c r="K60" s="795"/>
      <c r="L60" s="265">
        <f t="shared" si="5"/>
        <v>0</v>
      </c>
      <c r="M60" s="265"/>
      <c r="N60" s="265">
        <f t="shared" si="8"/>
        <v>0</v>
      </c>
      <c r="O60" s="265"/>
      <c r="P60" s="266">
        <f t="shared" si="6"/>
        <v>0</v>
      </c>
      <c r="Q60" s="823"/>
      <c r="R60" s="605"/>
    </row>
    <row r="61" spans="1:18">
      <c r="A61" s="656">
        <v>52</v>
      </c>
      <c r="B61" s="842" t="s">
        <v>92</v>
      </c>
      <c r="C61" s="795"/>
      <c r="D61" s="795" t="str">
        <f>+D60</f>
        <v>Year 2021</v>
      </c>
      <c r="E61" s="795"/>
      <c r="F61" s="823">
        <f t="shared" si="7"/>
        <v>0</v>
      </c>
      <c r="G61" s="823"/>
      <c r="H61" s="844"/>
      <c r="I61" s="845"/>
      <c r="J61" s="795"/>
      <c r="K61" s="795"/>
      <c r="L61" s="265">
        <f t="shared" si="5"/>
        <v>0</v>
      </c>
      <c r="M61" s="265"/>
      <c r="N61" s="265">
        <f t="shared" si="8"/>
        <v>0</v>
      </c>
      <c r="O61" s="265"/>
      <c r="P61" s="266">
        <f t="shared" si="6"/>
        <v>0</v>
      </c>
      <c r="Q61" s="823"/>
      <c r="R61" s="605"/>
    </row>
    <row r="62" spans="1:18">
      <c r="A62" s="656">
        <v>53</v>
      </c>
      <c r="B62" s="842" t="s">
        <v>145</v>
      </c>
      <c r="C62" s="795"/>
      <c r="D62" s="795" t="str">
        <f>D61</f>
        <v>Year 2021</v>
      </c>
      <c r="E62" s="795"/>
      <c r="F62" s="823">
        <f t="shared" si="7"/>
        <v>0</v>
      </c>
      <c r="G62" s="823"/>
      <c r="H62" s="844"/>
      <c r="I62" s="845"/>
      <c r="J62" s="795"/>
      <c r="K62" s="795"/>
      <c r="L62" s="265">
        <f t="shared" si="5"/>
        <v>0</v>
      </c>
      <c r="M62" s="265"/>
      <c r="N62" s="265">
        <f t="shared" si="8"/>
        <v>0</v>
      </c>
      <c r="O62" s="265"/>
      <c r="P62" s="266">
        <f t="shared" si="6"/>
        <v>0</v>
      </c>
      <c r="Q62" s="823"/>
      <c r="R62" s="605"/>
    </row>
    <row r="63" spans="1:18">
      <c r="A63" s="656">
        <v>54</v>
      </c>
      <c r="B63" s="842" t="s">
        <v>102</v>
      </c>
      <c r="C63" s="795"/>
      <c r="D63" s="795" t="str">
        <f t="shared" ref="D63:D68" si="9">+D62</f>
        <v>Year 2021</v>
      </c>
      <c r="E63" s="795"/>
      <c r="F63" s="823">
        <f t="shared" si="7"/>
        <v>0</v>
      </c>
      <c r="G63" s="823"/>
      <c r="H63" s="844"/>
      <c r="I63" s="845"/>
      <c r="J63" s="795"/>
      <c r="K63" s="795"/>
      <c r="L63" s="265">
        <f t="shared" si="5"/>
        <v>0</v>
      </c>
      <c r="M63" s="265"/>
      <c r="N63" s="265">
        <f t="shared" si="8"/>
        <v>0</v>
      </c>
      <c r="O63" s="265"/>
      <c r="P63" s="266">
        <f t="shared" si="6"/>
        <v>0</v>
      </c>
      <c r="Q63" s="823"/>
      <c r="R63" s="605"/>
    </row>
    <row r="64" spans="1:18">
      <c r="A64" s="656">
        <v>55</v>
      </c>
      <c r="B64" s="842" t="s">
        <v>101</v>
      </c>
      <c r="C64" s="795"/>
      <c r="D64" s="795" t="str">
        <f t="shared" si="9"/>
        <v>Year 2021</v>
      </c>
      <c r="E64" s="795"/>
      <c r="F64" s="823">
        <f t="shared" si="7"/>
        <v>0</v>
      </c>
      <c r="G64" s="823"/>
      <c r="H64" s="844"/>
      <c r="I64" s="845"/>
      <c r="J64" s="795"/>
      <c r="K64" s="795"/>
      <c r="L64" s="265">
        <f t="shared" si="5"/>
        <v>0</v>
      </c>
      <c r="M64" s="265"/>
      <c r="N64" s="265">
        <f t="shared" si="8"/>
        <v>0</v>
      </c>
      <c r="O64" s="265"/>
      <c r="P64" s="266">
        <f t="shared" si="6"/>
        <v>0</v>
      </c>
      <c r="Q64" s="823"/>
      <c r="R64" s="605"/>
    </row>
    <row r="65" spans="1:18">
      <c r="A65" s="656">
        <v>56</v>
      </c>
      <c r="B65" s="842" t="s">
        <v>100</v>
      </c>
      <c r="C65" s="795"/>
      <c r="D65" s="795" t="str">
        <f t="shared" si="9"/>
        <v>Year 2021</v>
      </c>
      <c r="E65" s="795"/>
      <c r="F65" s="823">
        <f t="shared" si="7"/>
        <v>0</v>
      </c>
      <c r="G65" s="823"/>
      <c r="H65" s="844"/>
      <c r="I65" s="845"/>
      <c r="J65" s="795"/>
      <c r="K65" s="795"/>
      <c r="L65" s="265">
        <f t="shared" si="5"/>
        <v>0</v>
      </c>
      <c r="M65" s="265"/>
      <c r="N65" s="265">
        <f t="shared" si="8"/>
        <v>0</v>
      </c>
      <c r="O65" s="265"/>
      <c r="P65" s="266">
        <f t="shared" si="6"/>
        <v>0</v>
      </c>
      <c r="Q65" s="823"/>
      <c r="R65" s="605"/>
    </row>
    <row r="66" spans="1:18">
      <c r="A66" s="656">
        <v>57</v>
      </c>
      <c r="B66" s="842" t="s">
        <v>106</v>
      </c>
      <c r="C66" s="795"/>
      <c r="D66" s="795" t="str">
        <f t="shared" si="9"/>
        <v>Year 2021</v>
      </c>
      <c r="E66" s="795"/>
      <c r="F66" s="823">
        <f t="shared" si="7"/>
        <v>0</v>
      </c>
      <c r="G66" s="823"/>
      <c r="H66" s="844"/>
      <c r="I66" s="845"/>
      <c r="J66" s="795"/>
      <c r="K66" s="795"/>
      <c r="L66" s="265">
        <f t="shared" si="5"/>
        <v>0</v>
      </c>
      <c r="M66" s="265"/>
      <c r="N66" s="265">
        <f t="shared" si="8"/>
        <v>0</v>
      </c>
      <c r="O66" s="265"/>
      <c r="P66" s="266">
        <f t="shared" si="6"/>
        <v>0</v>
      </c>
      <c r="Q66" s="823"/>
      <c r="R66" s="605"/>
    </row>
    <row r="67" spans="1:18">
      <c r="A67" s="656">
        <v>58</v>
      </c>
      <c r="B67" s="842" t="s">
        <v>99</v>
      </c>
      <c r="C67" s="795"/>
      <c r="D67" s="795" t="str">
        <f t="shared" si="9"/>
        <v>Year 2021</v>
      </c>
      <c r="E67" s="795"/>
      <c r="F67" s="823">
        <f t="shared" si="7"/>
        <v>0</v>
      </c>
      <c r="G67" s="823"/>
      <c r="H67" s="844"/>
      <c r="I67" s="845"/>
      <c r="J67" s="795"/>
      <c r="K67" s="795"/>
      <c r="L67" s="265">
        <f t="shared" si="5"/>
        <v>0</v>
      </c>
      <c r="M67" s="265"/>
      <c r="N67" s="265">
        <f t="shared" si="8"/>
        <v>0</v>
      </c>
      <c r="O67" s="265"/>
      <c r="P67" s="266">
        <f t="shared" si="6"/>
        <v>0</v>
      </c>
      <c r="Q67" s="823"/>
      <c r="R67" s="605"/>
    </row>
    <row r="68" spans="1:18">
      <c r="A68" s="656">
        <v>59</v>
      </c>
      <c r="B68" s="842" t="s">
        <v>98</v>
      </c>
      <c r="C68" s="795"/>
      <c r="D68" s="795" t="str">
        <f t="shared" si="9"/>
        <v>Year 2021</v>
      </c>
      <c r="E68" s="795"/>
      <c r="F68" s="823">
        <f t="shared" si="7"/>
        <v>0</v>
      </c>
      <c r="G68" s="823"/>
      <c r="H68" s="844"/>
      <c r="I68" s="845"/>
      <c r="J68" s="795"/>
      <c r="K68" s="795"/>
      <c r="L68" s="267">
        <f t="shared" si="5"/>
        <v>0</v>
      </c>
      <c r="M68" s="265"/>
      <c r="N68" s="265">
        <f t="shared" si="8"/>
        <v>0</v>
      </c>
      <c r="O68" s="265"/>
      <c r="P68" s="266">
        <f t="shared" si="6"/>
        <v>0</v>
      </c>
      <c r="Q68" s="823"/>
      <c r="R68" s="605"/>
    </row>
    <row r="69" spans="1:18" ht="24" customHeight="1">
      <c r="A69" s="656">
        <v>60</v>
      </c>
      <c r="B69" s="842"/>
      <c r="C69" s="795"/>
      <c r="D69" s="795"/>
      <c r="E69" s="795"/>
      <c r="F69" s="823"/>
      <c r="G69" s="823"/>
      <c r="H69" s="845"/>
      <c r="I69" s="845"/>
      <c r="J69" s="795"/>
      <c r="K69" s="795"/>
      <c r="L69" s="265">
        <f>SUM(L57:L68)</f>
        <v>0</v>
      </c>
      <c r="M69" s="265"/>
      <c r="N69" s="265"/>
      <c r="O69" s="265"/>
      <c r="P69" s="266"/>
      <c r="Q69" s="823"/>
      <c r="R69" s="605"/>
    </row>
    <row r="70" spans="1:18">
      <c r="A70" s="656">
        <v>61</v>
      </c>
      <c r="B70" s="634"/>
      <c r="P70" s="627"/>
    </row>
    <row r="71" spans="1:18">
      <c r="A71" s="656">
        <v>62</v>
      </c>
      <c r="B71" s="842" t="s">
        <v>174</v>
      </c>
      <c r="C71" s="795"/>
      <c r="F71" s="15" t="s">
        <v>1129</v>
      </c>
      <c r="N71" s="269">
        <f>SUM(N57:N68)</f>
        <v>0</v>
      </c>
      <c r="P71" s="627"/>
    </row>
    <row r="72" spans="1:18">
      <c r="A72" s="656">
        <v>63</v>
      </c>
      <c r="B72" s="842" t="s">
        <v>148</v>
      </c>
      <c r="C72" s="795"/>
      <c r="F72" s="15" t="s">
        <v>951</v>
      </c>
      <c r="N72" s="269">
        <f>L10</f>
        <v>0</v>
      </c>
      <c r="P72" s="627"/>
    </row>
    <row r="73" spans="1:18">
      <c r="A73" s="656">
        <v>64</v>
      </c>
      <c r="B73" s="851" t="s">
        <v>149</v>
      </c>
      <c r="C73" s="852"/>
      <c r="D73" s="270"/>
      <c r="E73" s="270"/>
      <c r="F73" s="270" t="s">
        <v>953</v>
      </c>
      <c r="G73" s="270"/>
      <c r="H73" s="270"/>
      <c r="I73" s="270"/>
      <c r="J73" s="270"/>
      <c r="K73" s="270"/>
      <c r="L73" s="270"/>
      <c r="M73" s="270"/>
      <c r="N73" s="271">
        <f>(N71+N72)</f>
        <v>0</v>
      </c>
      <c r="O73" s="270"/>
      <c r="P73" s="630"/>
    </row>
    <row r="74" spans="1:18">
      <c r="A74" s="656">
        <v>65</v>
      </c>
    </row>
    <row r="75" spans="1:18">
      <c r="A75" s="656">
        <v>66</v>
      </c>
      <c r="P75" s="299" t="s">
        <v>944</v>
      </c>
    </row>
    <row r="76" spans="1:18">
      <c r="A76" s="656">
        <v>67</v>
      </c>
      <c r="B76" s="997" t="s">
        <v>155</v>
      </c>
      <c r="C76" s="997"/>
      <c r="D76" s="997"/>
      <c r="E76" s="997"/>
      <c r="F76" s="997"/>
      <c r="G76" s="997"/>
      <c r="H76" s="997"/>
      <c r="I76" s="997"/>
      <c r="J76" s="997"/>
      <c r="K76" s="997"/>
      <c r="L76" s="997"/>
      <c r="M76" s="997"/>
      <c r="N76" s="997"/>
    </row>
    <row r="77" spans="1:18">
      <c r="A77" s="656">
        <v>68</v>
      </c>
      <c r="B77" s="974" t="str">
        <f>+H3</f>
        <v>Gridliance High Plains LLC</v>
      </c>
      <c r="C77" s="974"/>
      <c r="D77" s="974"/>
      <c r="E77" s="974"/>
      <c r="F77" s="974"/>
      <c r="G77" s="974"/>
      <c r="H77" s="974"/>
      <c r="I77" s="974"/>
      <c r="J77" s="974"/>
      <c r="K77" s="974"/>
      <c r="L77" s="974"/>
      <c r="M77" s="974"/>
      <c r="N77" s="974"/>
    </row>
    <row r="78" spans="1:18">
      <c r="A78" s="656">
        <v>69</v>
      </c>
      <c r="B78" s="997"/>
      <c r="C78" s="997"/>
      <c r="D78" s="997"/>
      <c r="E78" s="997"/>
      <c r="F78" s="997"/>
      <c r="G78" s="997"/>
      <c r="H78" s="997"/>
      <c r="I78" s="997"/>
      <c r="J78" s="997"/>
      <c r="K78" s="997"/>
      <c r="L78" s="997"/>
      <c r="M78" s="997"/>
      <c r="N78" s="997"/>
    </row>
    <row r="79" spans="1:18">
      <c r="A79" s="656">
        <v>70</v>
      </c>
      <c r="B79" s="795"/>
      <c r="C79" s="795"/>
      <c r="H79" s="853"/>
      <c r="I79" s="853"/>
      <c r="N79" s="272"/>
    </row>
    <row r="80" spans="1:18">
      <c r="A80" s="656">
        <v>71</v>
      </c>
      <c r="B80" s="832" t="s">
        <v>544</v>
      </c>
      <c r="C80" s="833"/>
      <c r="D80" s="834"/>
      <c r="E80" s="834"/>
      <c r="F80" s="834"/>
      <c r="G80" s="834"/>
      <c r="H80" s="835"/>
      <c r="I80" s="835"/>
      <c r="J80" s="835"/>
      <c r="K80" s="835"/>
      <c r="L80" s="836"/>
      <c r="M80" s="836"/>
      <c r="N80" s="834"/>
      <c r="O80" s="834"/>
      <c r="P80" s="837"/>
    </row>
    <row r="81" spans="1:16">
      <c r="A81" s="656">
        <v>72</v>
      </c>
      <c r="B81" s="838"/>
      <c r="C81" s="839"/>
      <c r="D81" s="796"/>
      <c r="E81" s="796"/>
      <c r="F81" s="796"/>
      <c r="G81" s="796"/>
      <c r="H81" s="795"/>
      <c r="I81" s="795"/>
      <c r="J81" s="795"/>
      <c r="K81" s="795"/>
      <c r="L81" s="797" t="s">
        <v>144</v>
      </c>
      <c r="M81" s="797"/>
      <c r="N81" s="796"/>
      <c r="O81" s="796"/>
      <c r="P81" s="840"/>
    </row>
    <row r="82" spans="1:16">
      <c r="A82" s="656">
        <v>73</v>
      </c>
      <c r="B82" s="841"/>
      <c r="C82" s="839"/>
      <c r="D82" s="796"/>
      <c r="E82" s="796"/>
      <c r="F82" s="796"/>
      <c r="G82" s="796"/>
      <c r="H82" s="795"/>
      <c r="I82" s="795"/>
      <c r="J82" s="795"/>
      <c r="K82" s="795"/>
      <c r="L82" s="797"/>
      <c r="M82" s="797"/>
      <c r="N82" s="796"/>
      <c r="O82" s="796"/>
      <c r="P82" s="840"/>
    </row>
    <row r="83" spans="1:16">
      <c r="A83" s="656">
        <v>74</v>
      </c>
      <c r="B83" s="842" t="s">
        <v>105</v>
      </c>
      <c r="C83" s="795"/>
      <c r="D83" s="795" t="str">
        <f>+D49</f>
        <v>Year 2016</v>
      </c>
      <c r="E83" s="795"/>
      <c r="F83" s="843"/>
      <c r="G83" s="265"/>
      <c r="H83" s="844"/>
      <c r="I83" s="845"/>
      <c r="J83" s="846">
        <v>12</v>
      </c>
      <c r="K83" s="795"/>
      <c r="L83" s="265">
        <f t="shared" ref="L83:L94" si="10">H83*F83*J83*-1</f>
        <v>0</v>
      </c>
      <c r="M83" s="265"/>
      <c r="N83" s="265"/>
      <c r="O83" s="265"/>
      <c r="P83" s="266">
        <f t="shared" ref="P83:P94" si="11">(-L83+F83)*-1</f>
        <v>0</v>
      </c>
    </row>
    <row r="84" spans="1:16">
      <c r="A84" s="656">
        <v>75</v>
      </c>
      <c r="B84" s="842" t="s">
        <v>104</v>
      </c>
      <c r="C84" s="795"/>
      <c r="D84" s="795" t="str">
        <f t="shared" ref="D84:D94" si="12">D83</f>
        <v>Year 2016</v>
      </c>
      <c r="E84" s="795"/>
      <c r="F84" s="843"/>
      <c r="G84" s="265"/>
      <c r="H84" s="844"/>
      <c r="I84" s="845"/>
      <c r="J84" s="847">
        <f t="shared" ref="J84:J94" si="13">+J83-1</f>
        <v>11</v>
      </c>
      <c r="L84" s="265">
        <f t="shared" si="10"/>
        <v>0</v>
      </c>
      <c r="M84" s="265"/>
      <c r="N84" s="265"/>
      <c r="O84" s="265"/>
      <c r="P84" s="266">
        <f t="shared" si="11"/>
        <v>0</v>
      </c>
    </row>
    <row r="85" spans="1:16">
      <c r="A85" s="656">
        <v>76</v>
      </c>
      <c r="B85" s="842" t="s">
        <v>103</v>
      </c>
      <c r="C85" s="795"/>
      <c r="D85" s="795" t="str">
        <f t="shared" si="12"/>
        <v>Year 2016</v>
      </c>
      <c r="E85" s="795"/>
      <c r="F85" s="843"/>
      <c r="G85" s="265"/>
      <c r="H85" s="844"/>
      <c r="I85" s="845"/>
      <c r="J85" s="847">
        <f t="shared" si="13"/>
        <v>10</v>
      </c>
      <c r="L85" s="265">
        <f t="shared" si="10"/>
        <v>0</v>
      </c>
      <c r="M85" s="265"/>
      <c r="N85" s="265"/>
      <c r="O85" s="265"/>
      <c r="P85" s="266">
        <f t="shared" si="11"/>
        <v>0</v>
      </c>
    </row>
    <row r="86" spans="1:16">
      <c r="A86" s="656">
        <v>77</v>
      </c>
      <c r="B86" s="842" t="s">
        <v>95</v>
      </c>
      <c r="C86" s="795"/>
      <c r="D86" s="795" t="str">
        <f t="shared" si="12"/>
        <v>Year 2016</v>
      </c>
      <c r="E86" s="795"/>
      <c r="F86" s="843"/>
      <c r="G86" s="265"/>
      <c r="H86" s="844"/>
      <c r="I86" s="845"/>
      <c r="J86" s="847">
        <f t="shared" si="13"/>
        <v>9</v>
      </c>
      <c r="L86" s="265">
        <f t="shared" si="10"/>
        <v>0</v>
      </c>
      <c r="M86" s="265"/>
      <c r="N86" s="265"/>
      <c r="O86" s="265"/>
      <c r="P86" s="266">
        <f t="shared" si="11"/>
        <v>0</v>
      </c>
    </row>
    <row r="87" spans="1:16">
      <c r="A87" s="656">
        <v>78</v>
      </c>
      <c r="B87" s="842" t="s">
        <v>92</v>
      </c>
      <c r="C87" s="795"/>
      <c r="D87" s="795" t="str">
        <f t="shared" si="12"/>
        <v>Year 2016</v>
      </c>
      <c r="E87" s="795"/>
      <c r="F87" s="843"/>
      <c r="G87" s="265"/>
      <c r="H87" s="844"/>
      <c r="I87" s="845"/>
      <c r="J87" s="847">
        <f t="shared" si="13"/>
        <v>8</v>
      </c>
      <c r="L87" s="265">
        <f t="shared" si="10"/>
        <v>0</v>
      </c>
      <c r="M87" s="265"/>
      <c r="N87" s="265"/>
      <c r="O87" s="265"/>
      <c r="P87" s="266">
        <f t="shared" si="11"/>
        <v>0</v>
      </c>
    </row>
    <row r="88" spans="1:16">
      <c r="A88" s="656">
        <v>79</v>
      </c>
      <c r="B88" s="842" t="s">
        <v>145</v>
      </c>
      <c r="C88" s="795"/>
      <c r="D88" s="795" t="str">
        <f t="shared" si="12"/>
        <v>Year 2016</v>
      </c>
      <c r="E88" s="795"/>
      <c r="F88" s="843"/>
      <c r="G88" s="265"/>
      <c r="H88" s="844"/>
      <c r="I88" s="845"/>
      <c r="J88" s="847">
        <f t="shared" si="13"/>
        <v>7</v>
      </c>
      <c r="L88" s="265">
        <f t="shared" si="10"/>
        <v>0</v>
      </c>
      <c r="M88" s="265"/>
      <c r="N88" s="265"/>
      <c r="O88" s="265"/>
      <c r="P88" s="266">
        <f t="shared" si="11"/>
        <v>0</v>
      </c>
    </row>
    <row r="89" spans="1:16">
      <c r="A89" s="656">
        <v>80</v>
      </c>
      <c r="B89" s="842" t="s">
        <v>102</v>
      </c>
      <c r="C89" s="795"/>
      <c r="D89" s="795" t="str">
        <f t="shared" si="12"/>
        <v>Year 2016</v>
      </c>
      <c r="E89" s="795"/>
      <c r="F89" s="843"/>
      <c r="G89" s="265"/>
      <c r="H89" s="844"/>
      <c r="I89" s="845"/>
      <c r="J89" s="847">
        <f t="shared" si="13"/>
        <v>6</v>
      </c>
      <c r="L89" s="265">
        <f t="shared" si="10"/>
        <v>0</v>
      </c>
      <c r="M89" s="265"/>
      <c r="N89" s="265"/>
      <c r="O89" s="265"/>
      <c r="P89" s="266">
        <f t="shared" si="11"/>
        <v>0</v>
      </c>
    </row>
    <row r="90" spans="1:16">
      <c r="A90" s="656">
        <v>81</v>
      </c>
      <c r="B90" s="842" t="s">
        <v>101</v>
      </c>
      <c r="C90" s="795"/>
      <c r="D90" s="795" t="str">
        <f t="shared" si="12"/>
        <v>Year 2016</v>
      </c>
      <c r="E90" s="795"/>
      <c r="F90" s="843"/>
      <c r="G90" s="265"/>
      <c r="H90" s="844"/>
      <c r="I90" s="845"/>
      <c r="J90" s="847">
        <f t="shared" si="13"/>
        <v>5</v>
      </c>
      <c r="L90" s="265">
        <f t="shared" si="10"/>
        <v>0</v>
      </c>
      <c r="M90" s="265"/>
      <c r="N90" s="265"/>
      <c r="O90" s="265"/>
      <c r="P90" s="266">
        <f t="shared" si="11"/>
        <v>0</v>
      </c>
    </row>
    <row r="91" spans="1:16">
      <c r="A91" s="656">
        <v>82</v>
      </c>
      <c r="B91" s="842" t="s">
        <v>100</v>
      </c>
      <c r="C91" s="795"/>
      <c r="D91" s="795" t="str">
        <f t="shared" si="12"/>
        <v>Year 2016</v>
      </c>
      <c r="E91" s="795"/>
      <c r="F91" s="843"/>
      <c r="G91" s="265"/>
      <c r="H91" s="844"/>
      <c r="I91" s="845"/>
      <c r="J91" s="847">
        <f t="shared" si="13"/>
        <v>4</v>
      </c>
      <c r="L91" s="265">
        <f t="shared" si="10"/>
        <v>0</v>
      </c>
      <c r="M91" s="265"/>
      <c r="N91" s="265"/>
      <c r="O91" s="265"/>
      <c r="P91" s="266">
        <f t="shared" si="11"/>
        <v>0</v>
      </c>
    </row>
    <row r="92" spans="1:16">
      <c r="A92" s="656">
        <v>83</v>
      </c>
      <c r="B92" s="842" t="s">
        <v>106</v>
      </c>
      <c r="C92" s="795"/>
      <c r="D92" s="795" t="str">
        <f t="shared" si="12"/>
        <v>Year 2016</v>
      </c>
      <c r="E92" s="795"/>
      <c r="F92" s="843"/>
      <c r="G92" s="265"/>
      <c r="H92" s="844"/>
      <c r="I92" s="845"/>
      <c r="J92" s="847">
        <f t="shared" si="13"/>
        <v>3</v>
      </c>
      <c r="L92" s="265">
        <f t="shared" si="10"/>
        <v>0</v>
      </c>
      <c r="M92" s="265"/>
      <c r="N92" s="265"/>
      <c r="O92" s="265"/>
      <c r="P92" s="266">
        <f t="shared" si="11"/>
        <v>0</v>
      </c>
    </row>
    <row r="93" spans="1:16">
      <c r="A93" s="656">
        <v>84</v>
      </c>
      <c r="B93" s="842" t="s">
        <v>99</v>
      </c>
      <c r="C93" s="795"/>
      <c r="D93" s="795" t="str">
        <f t="shared" si="12"/>
        <v>Year 2016</v>
      </c>
      <c r="E93" s="795"/>
      <c r="F93" s="843"/>
      <c r="G93" s="265"/>
      <c r="H93" s="844"/>
      <c r="I93" s="845"/>
      <c r="J93" s="847">
        <f t="shared" si="13"/>
        <v>2</v>
      </c>
      <c r="L93" s="265">
        <f t="shared" si="10"/>
        <v>0</v>
      </c>
      <c r="M93" s="265"/>
      <c r="N93" s="265"/>
      <c r="O93" s="265"/>
      <c r="P93" s="266">
        <f t="shared" si="11"/>
        <v>0</v>
      </c>
    </row>
    <row r="94" spans="1:16">
      <c r="A94" s="656">
        <v>85</v>
      </c>
      <c r="B94" s="842" t="s">
        <v>98</v>
      </c>
      <c r="C94" s="795"/>
      <c r="D94" s="795" t="str">
        <f t="shared" si="12"/>
        <v>Year 2016</v>
      </c>
      <c r="E94" s="795"/>
      <c r="F94" s="843"/>
      <c r="G94" s="265"/>
      <c r="H94" s="844"/>
      <c r="I94" s="845"/>
      <c r="J94" s="847">
        <f t="shared" si="13"/>
        <v>1</v>
      </c>
      <c r="L94" s="267">
        <f t="shared" si="10"/>
        <v>0</v>
      </c>
      <c r="M94" s="265"/>
      <c r="N94" s="265"/>
      <c r="O94" s="265"/>
      <c r="P94" s="266">
        <f t="shared" si="11"/>
        <v>0</v>
      </c>
    </row>
    <row r="95" spans="1:16">
      <c r="A95" s="656">
        <v>86</v>
      </c>
      <c r="B95" s="842"/>
      <c r="C95" s="795"/>
      <c r="D95" s="795"/>
      <c r="E95" s="795"/>
      <c r="F95" s="265"/>
      <c r="G95" s="265"/>
      <c r="H95" s="845"/>
      <c r="I95" s="845"/>
      <c r="L95" s="265">
        <f>SUM(L83:L94)</f>
        <v>0</v>
      </c>
      <c r="M95" s="265"/>
      <c r="N95" s="265"/>
      <c r="O95" s="265"/>
      <c r="P95" s="268">
        <f>SUM(P83:P94)</f>
        <v>0</v>
      </c>
    </row>
    <row r="96" spans="1:16">
      <c r="A96" s="656">
        <v>87</v>
      </c>
      <c r="B96" s="842"/>
      <c r="C96" s="795"/>
      <c r="D96" s="795"/>
      <c r="E96" s="795"/>
      <c r="F96" s="265"/>
      <c r="G96" s="265"/>
      <c r="H96" s="845"/>
      <c r="I96" s="845"/>
      <c r="L96" s="265"/>
      <c r="M96" s="265"/>
      <c r="N96" s="265"/>
      <c r="O96" s="265"/>
      <c r="P96" s="268"/>
    </row>
    <row r="97" spans="1:16">
      <c r="A97" s="656">
        <v>88</v>
      </c>
      <c r="B97" s="842"/>
      <c r="C97" s="795"/>
      <c r="D97" s="795"/>
      <c r="E97" s="795"/>
      <c r="F97" s="265"/>
      <c r="G97" s="265"/>
      <c r="H97" s="845"/>
      <c r="I97" s="845"/>
      <c r="L97" s="119" t="s">
        <v>1128</v>
      </c>
      <c r="M97" s="265"/>
      <c r="N97" s="265"/>
      <c r="O97" s="265"/>
      <c r="P97" s="268"/>
    </row>
    <row r="98" spans="1:16">
      <c r="A98" s="656">
        <v>89</v>
      </c>
      <c r="B98" s="842"/>
      <c r="C98" s="795"/>
      <c r="D98" s="795"/>
      <c r="E98" s="795"/>
      <c r="F98" s="265"/>
      <c r="G98" s="265"/>
      <c r="H98" s="845"/>
      <c r="I98" s="845"/>
      <c r="L98" s="119"/>
      <c r="M98" s="265"/>
      <c r="N98" s="265"/>
      <c r="O98" s="265"/>
      <c r="P98" s="268"/>
    </row>
    <row r="99" spans="1:16">
      <c r="A99" s="656">
        <v>90</v>
      </c>
      <c r="B99" s="842" t="s">
        <v>146</v>
      </c>
      <c r="C99" s="795"/>
      <c r="D99" s="795" t="str">
        <f>+D50</f>
        <v>Year 2017</v>
      </c>
      <c r="E99" s="795"/>
      <c r="F99" s="823">
        <f>P95</f>
        <v>0</v>
      </c>
      <c r="G99" s="823"/>
      <c r="H99" s="844"/>
      <c r="I99" s="845"/>
      <c r="J99" s="846">
        <v>12</v>
      </c>
      <c r="K99" s="795"/>
      <c r="L99" s="265">
        <f>+J99*H99*F99</f>
        <v>0</v>
      </c>
      <c r="M99" s="265"/>
      <c r="N99" s="265"/>
      <c r="O99" s="265"/>
      <c r="P99" s="268">
        <f>+F99+L99</f>
        <v>0</v>
      </c>
    </row>
    <row r="100" spans="1:16">
      <c r="A100" s="656">
        <v>91</v>
      </c>
      <c r="B100" s="842" t="s">
        <v>146</v>
      </c>
      <c r="C100" s="795"/>
      <c r="D100" s="795" t="str">
        <f>+D51</f>
        <v>Year 2018</v>
      </c>
      <c r="E100" s="795"/>
      <c r="F100" s="823">
        <f>P99</f>
        <v>0</v>
      </c>
      <c r="G100" s="823"/>
      <c r="H100" s="844"/>
      <c r="I100" s="845"/>
      <c r="J100" s="846">
        <v>12</v>
      </c>
      <c r="K100" s="795"/>
      <c r="L100" s="265">
        <f>+J100*H100*F100</f>
        <v>0</v>
      </c>
      <c r="M100" s="265"/>
      <c r="N100" s="265"/>
      <c r="O100" s="265"/>
      <c r="P100" s="268">
        <f>+F100+L100</f>
        <v>0</v>
      </c>
    </row>
    <row r="101" spans="1:16">
      <c r="A101" s="656">
        <v>92</v>
      </c>
      <c r="B101" s="842" t="s">
        <v>146</v>
      </c>
      <c r="C101" s="795"/>
      <c r="D101" s="795" t="str">
        <f>+D52</f>
        <v>Year 2019</v>
      </c>
      <c r="E101" s="795"/>
      <c r="F101" s="823">
        <f>P100</f>
        <v>0</v>
      </c>
      <c r="G101" s="823"/>
      <c r="H101" s="844"/>
      <c r="I101" s="845"/>
      <c r="J101" s="846">
        <v>12</v>
      </c>
      <c r="K101" s="795"/>
      <c r="L101" s="265">
        <f>+J101*H101*F101</f>
        <v>0</v>
      </c>
      <c r="M101" s="265"/>
      <c r="N101" s="265"/>
      <c r="O101" s="265"/>
      <c r="P101" s="268">
        <f>+F101+L101</f>
        <v>0</v>
      </c>
    </row>
    <row r="102" spans="1:16">
      <c r="A102" s="656">
        <v>93</v>
      </c>
      <c r="B102" s="842" t="s">
        <v>146</v>
      </c>
      <c r="C102" s="795"/>
      <c r="D102" s="795" t="str">
        <f>+D53</f>
        <v>Year 2020</v>
      </c>
      <c r="E102" s="795"/>
      <c r="F102" s="823">
        <f>P101</f>
        <v>0</v>
      </c>
      <c r="G102" s="823"/>
      <c r="H102" s="844"/>
      <c r="I102" s="845"/>
      <c r="J102" s="846">
        <v>12</v>
      </c>
      <c r="K102" s="795"/>
      <c r="L102" s="265">
        <f>+J102*H102*F102</f>
        <v>0</v>
      </c>
      <c r="M102" s="265"/>
      <c r="N102" s="265"/>
      <c r="O102" s="265"/>
      <c r="P102" s="268">
        <f>+F102+L102</f>
        <v>0</v>
      </c>
    </row>
    <row r="103" spans="1:16">
      <c r="A103" s="656">
        <v>94</v>
      </c>
      <c r="B103" s="842"/>
      <c r="C103" s="795"/>
      <c r="D103" s="795"/>
      <c r="E103" s="795"/>
      <c r="F103" s="823"/>
      <c r="G103" s="823"/>
      <c r="H103" s="845"/>
      <c r="I103" s="845"/>
      <c r="J103" s="795"/>
      <c r="K103" s="795"/>
      <c r="L103" s="265"/>
      <c r="M103" s="265"/>
      <c r="N103" s="265"/>
      <c r="O103" s="265"/>
      <c r="P103" s="268"/>
    </row>
    <row r="104" spans="1:16">
      <c r="A104" s="656">
        <v>95</v>
      </c>
      <c r="B104" s="842"/>
      <c r="C104" s="795"/>
      <c r="D104" s="795"/>
      <c r="E104" s="795"/>
      <c r="F104" s="823"/>
      <c r="G104" s="823"/>
      <c r="H104" s="845"/>
      <c r="I104" s="845"/>
      <c r="J104" s="795"/>
      <c r="K104" s="795"/>
      <c r="L104" s="265"/>
      <c r="M104" s="265"/>
      <c r="N104" s="265"/>
      <c r="O104" s="265"/>
      <c r="P104" s="266"/>
    </row>
    <row r="105" spans="1:16">
      <c r="A105" s="656">
        <v>96</v>
      </c>
      <c r="B105" s="848" t="s">
        <v>147</v>
      </c>
      <c r="C105" s="849"/>
      <c r="D105" s="795"/>
      <c r="E105" s="795"/>
      <c r="F105" s="265"/>
      <c r="G105" s="265"/>
      <c r="H105" s="845"/>
      <c r="I105" s="845"/>
      <c r="J105" s="795"/>
      <c r="K105" s="795"/>
      <c r="L105" s="119" t="s">
        <v>144</v>
      </c>
      <c r="M105" s="119"/>
      <c r="N105" s="265"/>
      <c r="O105" s="265"/>
      <c r="P105" s="266"/>
    </row>
    <row r="106" spans="1:16">
      <c r="A106" s="656">
        <v>97</v>
      </c>
      <c r="B106" s="842" t="s">
        <v>105</v>
      </c>
      <c r="C106" s="795"/>
      <c r="D106" s="795" t="str">
        <f>+D57</f>
        <v>Year 2021</v>
      </c>
      <c r="E106" s="795"/>
      <c r="F106" s="850">
        <f>-P102</f>
        <v>0</v>
      </c>
      <c r="G106" s="823"/>
      <c r="H106" s="844"/>
      <c r="I106" s="845"/>
      <c r="J106" s="795"/>
      <c r="K106" s="795"/>
      <c r="L106" s="265">
        <f t="shared" ref="L106:L117" si="14" xml:space="preserve"> -H106*F106</f>
        <v>0</v>
      </c>
      <c r="M106" s="265"/>
      <c r="N106" s="265">
        <f>-PMT(H106,12,P102)</f>
        <v>0</v>
      </c>
      <c r="O106" s="265"/>
      <c r="P106" s="266">
        <f t="shared" ref="P106:P117" si="15">(+F106+F106*H106+N106)*-1</f>
        <v>0</v>
      </c>
    </row>
    <row r="107" spans="1:16">
      <c r="A107" s="656">
        <v>98</v>
      </c>
      <c r="B107" s="842" t="s">
        <v>104</v>
      </c>
      <c r="C107" s="795"/>
      <c r="D107" s="795" t="str">
        <f>+D106</f>
        <v>Year 2021</v>
      </c>
      <c r="E107" s="795"/>
      <c r="F107" s="823">
        <f t="shared" ref="F107:F117" si="16">-P106</f>
        <v>0</v>
      </c>
      <c r="G107" s="823"/>
      <c r="H107" s="844"/>
      <c r="I107" s="845"/>
      <c r="J107" s="795"/>
      <c r="K107" s="795"/>
      <c r="L107" s="265">
        <f t="shared" si="14"/>
        <v>0</v>
      </c>
      <c r="M107" s="265"/>
      <c r="N107" s="265">
        <f t="shared" ref="N107:N117" si="17">N106</f>
        <v>0</v>
      </c>
      <c r="O107" s="265"/>
      <c r="P107" s="266">
        <f t="shared" si="15"/>
        <v>0</v>
      </c>
    </row>
    <row r="108" spans="1:16">
      <c r="A108" s="656">
        <v>99</v>
      </c>
      <c r="B108" s="842" t="s">
        <v>103</v>
      </c>
      <c r="C108" s="795"/>
      <c r="D108" s="795" t="str">
        <f>+D107</f>
        <v>Year 2021</v>
      </c>
      <c r="E108" s="795"/>
      <c r="F108" s="823">
        <f t="shared" si="16"/>
        <v>0</v>
      </c>
      <c r="G108" s="823"/>
      <c r="H108" s="844"/>
      <c r="I108" s="845"/>
      <c r="J108" s="795"/>
      <c r="K108" s="795"/>
      <c r="L108" s="265">
        <f t="shared" si="14"/>
        <v>0</v>
      </c>
      <c r="M108" s="265"/>
      <c r="N108" s="265">
        <f t="shared" si="17"/>
        <v>0</v>
      </c>
      <c r="O108" s="265"/>
      <c r="P108" s="266">
        <f t="shared" si="15"/>
        <v>0</v>
      </c>
    </row>
    <row r="109" spans="1:16">
      <c r="A109" s="656">
        <v>100</v>
      </c>
      <c r="B109" s="842" t="s">
        <v>95</v>
      </c>
      <c r="C109" s="795"/>
      <c r="D109" s="795" t="str">
        <f>+D108</f>
        <v>Year 2021</v>
      </c>
      <c r="E109" s="795"/>
      <c r="F109" s="823">
        <f t="shared" si="16"/>
        <v>0</v>
      </c>
      <c r="G109" s="823"/>
      <c r="H109" s="844"/>
      <c r="I109" s="845"/>
      <c r="J109" s="795"/>
      <c r="K109" s="795"/>
      <c r="L109" s="265">
        <f t="shared" si="14"/>
        <v>0</v>
      </c>
      <c r="M109" s="265"/>
      <c r="N109" s="265">
        <f t="shared" si="17"/>
        <v>0</v>
      </c>
      <c r="O109" s="265"/>
      <c r="P109" s="266">
        <f t="shared" si="15"/>
        <v>0</v>
      </c>
    </row>
    <row r="110" spans="1:16">
      <c r="A110" s="656">
        <v>101</v>
      </c>
      <c r="B110" s="842" t="s">
        <v>92</v>
      </c>
      <c r="C110" s="795"/>
      <c r="D110" s="795" t="str">
        <f>+D109</f>
        <v>Year 2021</v>
      </c>
      <c r="E110" s="795"/>
      <c r="F110" s="823">
        <f t="shared" si="16"/>
        <v>0</v>
      </c>
      <c r="G110" s="823"/>
      <c r="H110" s="844"/>
      <c r="I110" s="845"/>
      <c r="J110" s="795"/>
      <c r="K110" s="795"/>
      <c r="L110" s="265">
        <f t="shared" si="14"/>
        <v>0</v>
      </c>
      <c r="M110" s="265"/>
      <c r="N110" s="265">
        <f t="shared" si="17"/>
        <v>0</v>
      </c>
      <c r="O110" s="265"/>
      <c r="P110" s="266">
        <f t="shared" si="15"/>
        <v>0</v>
      </c>
    </row>
    <row r="111" spans="1:16">
      <c r="A111" s="656">
        <v>102</v>
      </c>
      <c r="B111" s="842" t="s">
        <v>145</v>
      </c>
      <c r="C111" s="795"/>
      <c r="D111" s="795" t="str">
        <f>D110</f>
        <v>Year 2021</v>
      </c>
      <c r="E111" s="795"/>
      <c r="F111" s="823">
        <f t="shared" si="16"/>
        <v>0</v>
      </c>
      <c r="G111" s="823"/>
      <c r="H111" s="844"/>
      <c r="I111" s="845"/>
      <c r="J111" s="795"/>
      <c r="K111" s="795"/>
      <c r="L111" s="265">
        <f t="shared" si="14"/>
        <v>0</v>
      </c>
      <c r="M111" s="265"/>
      <c r="N111" s="265">
        <f t="shared" si="17"/>
        <v>0</v>
      </c>
      <c r="O111" s="265"/>
      <c r="P111" s="266">
        <f t="shared" si="15"/>
        <v>0</v>
      </c>
    </row>
    <row r="112" spans="1:16">
      <c r="A112" s="656">
        <v>103</v>
      </c>
      <c r="B112" s="842" t="s">
        <v>102</v>
      </c>
      <c r="C112" s="795"/>
      <c r="D112" s="795" t="str">
        <f t="shared" ref="D112:D117" si="18">+D111</f>
        <v>Year 2021</v>
      </c>
      <c r="E112" s="795"/>
      <c r="F112" s="823">
        <f t="shared" si="16"/>
        <v>0</v>
      </c>
      <c r="G112" s="823"/>
      <c r="H112" s="844"/>
      <c r="I112" s="845"/>
      <c r="J112" s="795"/>
      <c r="K112" s="795"/>
      <c r="L112" s="265">
        <f t="shared" si="14"/>
        <v>0</v>
      </c>
      <c r="M112" s="265"/>
      <c r="N112" s="265">
        <f t="shared" si="17"/>
        <v>0</v>
      </c>
      <c r="O112" s="265"/>
      <c r="P112" s="266">
        <f t="shared" si="15"/>
        <v>0</v>
      </c>
    </row>
    <row r="113" spans="1:16">
      <c r="A113" s="656">
        <v>104</v>
      </c>
      <c r="B113" s="842" t="s">
        <v>101</v>
      </c>
      <c r="C113" s="795"/>
      <c r="D113" s="795" t="str">
        <f t="shared" si="18"/>
        <v>Year 2021</v>
      </c>
      <c r="E113" s="795"/>
      <c r="F113" s="823">
        <f t="shared" si="16"/>
        <v>0</v>
      </c>
      <c r="G113" s="823"/>
      <c r="H113" s="844"/>
      <c r="I113" s="845"/>
      <c r="J113" s="795"/>
      <c r="K113" s="795"/>
      <c r="L113" s="265">
        <f t="shared" si="14"/>
        <v>0</v>
      </c>
      <c r="M113" s="265"/>
      <c r="N113" s="265">
        <f t="shared" si="17"/>
        <v>0</v>
      </c>
      <c r="O113" s="265"/>
      <c r="P113" s="266">
        <f t="shared" si="15"/>
        <v>0</v>
      </c>
    </row>
    <row r="114" spans="1:16">
      <c r="A114" s="656">
        <v>105</v>
      </c>
      <c r="B114" s="842" t="s">
        <v>100</v>
      </c>
      <c r="C114" s="795"/>
      <c r="D114" s="795" t="str">
        <f t="shared" si="18"/>
        <v>Year 2021</v>
      </c>
      <c r="E114" s="795"/>
      <c r="F114" s="823">
        <f t="shared" si="16"/>
        <v>0</v>
      </c>
      <c r="G114" s="823"/>
      <c r="H114" s="844"/>
      <c r="I114" s="845"/>
      <c r="J114" s="795"/>
      <c r="K114" s="795"/>
      <c r="L114" s="265">
        <f t="shared" si="14"/>
        <v>0</v>
      </c>
      <c r="M114" s="265"/>
      <c r="N114" s="265">
        <f t="shared" si="17"/>
        <v>0</v>
      </c>
      <c r="O114" s="265"/>
      <c r="P114" s="266">
        <f t="shared" si="15"/>
        <v>0</v>
      </c>
    </row>
    <row r="115" spans="1:16">
      <c r="A115" s="656">
        <v>106</v>
      </c>
      <c r="B115" s="842" t="s">
        <v>106</v>
      </c>
      <c r="C115" s="795"/>
      <c r="D115" s="795" t="str">
        <f t="shared" si="18"/>
        <v>Year 2021</v>
      </c>
      <c r="E115" s="795"/>
      <c r="F115" s="823">
        <f t="shared" si="16"/>
        <v>0</v>
      </c>
      <c r="G115" s="823"/>
      <c r="H115" s="844"/>
      <c r="I115" s="845"/>
      <c r="J115" s="795"/>
      <c r="K115" s="795"/>
      <c r="L115" s="265">
        <f t="shared" si="14"/>
        <v>0</v>
      </c>
      <c r="M115" s="265"/>
      <c r="N115" s="265">
        <f t="shared" si="17"/>
        <v>0</v>
      </c>
      <c r="O115" s="265"/>
      <c r="P115" s="266">
        <f t="shared" si="15"/>
        <v>0</v>
      </c>
    </row>
    <row r="116" spans="1:16">
      <c r="A116" s="656">
        <v>107</v>
      </c>
      <c r="B116" s="842" t="s">
        <v>99</v>
      </c>
      <c r="C116" s="795"/>
      <c r="D116" s="795" t="str">
        <f t="shared" si="18"/>
        <v>Year 2021</v>
      </c>
      <c r="E116" s="795"/>
      <c r="F116" s="823">
        <f t="shared" si="16"/>
        <v>0</v>
      </c>
      <c r="G116" s="823"/>
      <c r="H116" s="844"/>
      <c r="I116" s="845"/>
      <c r="J116" s="795"/>
      <c r="K116" s="795"/>
      <c r="L116" s="265">
        <f t="shared" si="14"/>
        <v>0</v>
      </c>
      <c r="M116" s="265"/>
      <c r="N116" s="265">
        <f t="shared" si="17"/>
        <v>0</v>
      </c>
      <c r="O116" s="265"/>
      <c r="P116" s="266">
        <f t="shared" si="15"/>
        <v>0</v>
      </c>
    </row>
    <row r="117" spans="1:16">
      <c r="A117" s="656">
        <v>108</v>
      </c>
      <c r="B117" s="842" t="s">
        <v>98</v>
      </c>
      <c r="C117" s="795"/>
      <c r="D117" s="795" t="str">
        <f t="shared" si="18"/>
        <v>Year 2021</v>
      </c>
      <c r="E117" s="795"/>
      <c r="F117" s="823">
        <f t="shared" si="16"/>
        <v>0</v>
      </c>
      <c r="G117" s="823"/>
      <c r="H117" s="844"/>
      <c r="I117" s="845"/>
      <c r="J117" s="795"/>
      <c r="K117" s="795"/>
      <c r="L117" s="267">
        <f t="shared" si="14"/>
        <v>0</v>
      </c>
      <c r="M117" s="265"/>
      <c r="N117" s="265">
        <f t="shared" si="17"/>
        <v>0</v>
      </c>
      <c r="O117" s="265"/>
      <c r="P117" s="266">
        <f t="shared" si="15"/>
        <v>0</v>
      </c>
    </row>
    <row r="118" spans="1:16">
      <c r="A118" s="656">
        <v>109</v>
      </c>
      <c r="B118" s="842"/>
      <c r="C118" s="795"/>
      <c r="D118" s="795"/>
      <c r="E118" s="795"/>
      <c r="F118" s="823"/>
      <c r="G118" s="823"/>
      <c r="H118" s="845"/>
      <c r="I118" s="845"/>
      <c r="J118" s="795"/>
      <c r="K118" s="795"/>
      <c r="L118" s="265">
        <f>SUM(L106:L117)</f>
        <v>0</v>
      </c>
      <c r="M118" s="265"/>
      <c r="N118" s="265"/>
      <c r="O118" s="265"/>
      <c r="P118" s="266"/>
    </row>
    <row r="119" spans="1:16">
      <c r="A119" s="656">
        <v>110</v>
      </c>
      <c r="B119" s="634"/>
      <c r="P119" s="627"/>
    </row>
    <row r="120" spans="1:16">
      <c r="A120" s="656">
        <v>111</v>
      </c>
      <c r="B120" s="842" t="s">
        <v>173</v>
      </c>
      <c r="C120" s="795"/>
      <c r="F120" s="15" t="s">
        <v>1130</v>
      </c>
      <c r="N120" s="269">
        <f>SUM(N106:N117)</f>
        <v>0</v>
      </c>
      <c r="P120" s="627"/>
    </row>
    <row r="121" spans="1:16">
      <c r="A121" s="656">
        <v>112</v>
      </c>
      <c r="B121" s="842" t="s">
        <v>148</v>
      </c>
      <c r="C121" s="795"/>
      <c r="F121" s="15" t="s">
        <v>952</v>
      </c>
      <c r="N121" s="269">
        <f>L11</f>
        <v>0</v>
      </c>
      <c r="P121" s="627"/>
    </row>
    <row r="122" spans="1:16">
      <c r="A122" s="656">
        <v>113</v>
      </c>
      <c r="B122" s="851" t="s">
        <v>149</v>
      </c>
      <c r="C122" s="852"/>
      <c r="D122" s="270"/>
      <c r="E122" s="270"/>
      <c r="F122" s="270" t="s">
        <v>954</v>
      </c>
      <c r="G122" s="270"/>
      <c r="H122" s="270"/>
      <c r="I122" s="270"/>
      <c r="J122" s="270"/>
      <c r="K122" s="270"/>
      <c r="L122" s="270"/>
      <c r="M122" s="270"/>
      <c r="N122" s="271">
        <f>(N120+N121)</f>
        <v>0</v>
      </c>
      <c r="O122" s="270"/>
      <c r="P122" s="630"/>
    </row>
    <row r="123" spans="1:16">
      <c r="A123" s="656">
        <v>114</v>
      </c>
    </row>
    <row r="124" spans="1:16">
      <c r="A124" s="656">
        <v>115</v>
      </c>
    </row>
    <row r="125" spans="1:16">
      <c r="A125" s="656">
        <v>116</v>
      </c>
      <c r="B125" s="832" t="s">
        <v>545</v>
      </c>
      <c r="C125" s="833"/>
      <c r="D125" s="834"/>
      <c r="E125" s="834"/>
      <c r="F125" s="834"/>
      <c r="G125" s="834"/>
      <c r="H125" s="835"/>
      <c r="I125" s="835"/>
      <c r="J125" s="835"/>
      <c r="K125" s="835"/>
      <c r="L125" s="836"/>
      <c r="M125" s="836"/>
      <c r="N125" s="834"/>
      <c r="O125" s="834"/>
      <c r="P125" s="837"/>
    </row>
    <row r="126" spans="1:16">
      <c r="A126" s="656">
        <v>117</v>
      </c>
      <c r="B126" s="838"/>
      <c r="C126" s="839"/>
      <c r="D126" s="796"/>
      <c r="E126" s="796"/>
      <c r="F126" s="796"/>
      <c r="G126" s="796"/>
      <c r="H126" s="795"/>
      <c r="I126" s="795"/>
      <c r="J126" s="795"/>
      <c r="K126" s="795"/>
      <c r="L126" s="797" t="s">
        <v>144</v>
      </c>
      <c r="M126" s="797"/>
      <c r="N126" s="796"/>
      <c r="O126" s="796"/>
      <c r="P126" s="840"/>
    </row>
    <row r="127" spans="1:16">
      <c r="A127" s="656">
        <v>118</v>
      </c>
      <c r="B127" s="841"/>
      <c r="C127" s="839"/>
      <c r="D127" s="796"/>
      <c r="E127" s="796"/>
      <c r="F127" s="796"/>
      <c r="G127" s="796"/>
      <c r="H127" s="795"/>
      <c r="I127" s="795"/>
      <c r="J127" s="795"/>
      <c r="K127" s="795"/>
      <c r="L127" s="797"/>
      <c r="M127" s="797"/>
      <c r="N127" s="796"/>
      <c r="O127" s="796"/>
      <c r="P127" s="840"/>
    </row>
    <row r="128" spans="1:16">
      <c r="A128" s="656">
        <v>119</v>
      </c>
      <c r="B128" s="842" t="s">
        <v>105</v>
      </c>
      <c r="C128" s="795"/>
      <c r="D128" s="795" t="str">
        <f>+D99</f>
        <v>Year 2017</v>
      </c>
      <c r="E128" s="795"/>
      <c r="F128" s="843"/>
      <c r="G128" s="265"/>
      <c r="H128" s="844"/>
      <c r="I128" s="845"/>
      <c r="J128" s="846">
        <v>12</v>
      </c>
      <c r="K128" s="795"/>
      <c r="L128" s="265">
        <f t="shared" ref="L128:L139" si="19">H128*F128*J128*-1</f>
        <v>0</v>
      </c>
      <c r="M128" s="265"/>
      <c r="N128" s="265"/>
      <c r="O128" s="265"/>
      <c r="P128" s="266">
        <f t="shared" ref="P128:P139" si="20">(-L128+F128)*-1</f>
        <v>0</v>
      </c>
    </row>
    <row r="129" spans="1:16">
      <c r="A129" s="656">
        <v>120</v>
      </c>
      <c r="B129" s="842" t="s">
        <v>104</v>
      </c>
      <c r="C129" s="795"/>
      <c r="D129" s="795" t="str">
        <f t="shared" ref="D129:D139" si="21">D128</f>
        <v>Year 2017</v>
      </c>
      <c r="E129" s="795"/>
      <c r="F129" s="843"/>
      <c r="G129" s="265"/>
      <c r="H129" s="844"/>
      <c r="I129" s="845"/>
      <c r="J129" s="847">
        <f t="shared" ref="J129:J139" si="22">+J128-1</f>
        <v>11</v>
      </c>
      <c r="L129" s="265">
        <f t="shared" si="19"/>
        <v>0</v>
      </c>
      <c r="M129" s="265"/>
      <c r="N129" s="265"/>
      <c r="O129" s="265"/>
      <c r="P129" s="266">
        <f t="shared" si="20"/>
        <v>0</v>
      </c>
    </row>
    <row r="130" spans="1:16">
      <c r="A130" s="656">
        <v>121</v>
      </c>
      <c r="B130" s="842" t="s">
        <v>103</v>
      </c>
      <c r="C130" s="795"/>
      <c r="D130" s="795" t="str">
        <f t="shared" si="21"/>
        <v>Year 2017</v>
      </c>
      <c r="E130" s="795"/>
      <c r="F130" s="843"/>
      <c r="G130" s="265"/>
      <c r="H130" s="844"/>
      <c r="I130" s="845"/>
      <c r="J130" s="847">
        <f t="shared" si="22"/>
        <v>10</v>
      </c>
      <c r="L130" s="265">
        <f t="shared" si="19"/>
        <v>0</v>
      </c>
      <c r="M130" s="265"/>
      <c r="N130" s="265"/>
      <c r="O130" s="265"/>
      <c r="P130" s="266">
        <f t="shared" si="20"/>
        <v>0</v>
      </c>
    </row>
    <row r="131" spans="1:16">
      <c r="A131" s="656">
        <v>122</v>
      </c>
      <c r="B131" s="842" t="s">
        <v>95</v>
      </c>
      <c r="C131" s="795"/>
      <c r="D131" s="795" t="str">
        <f t="shared" si="21"/>
        <v>Year 2017</v>
      </c>
      <c r="E131" s="795"/>
      <c r="F131" s="843"/>
      <c r="G131" s="265"/>
      <c r="H131" s="844"/>
      <c r="I131" s="845"/>
      <c r="J131" s="847">
        <f t="shared" si="22"/>
        <v>9</v>
      </c>
      <c r="L131" s="265">
        <f t="shared" si="19"/>
        <v>0</v>
      </c>
      <c r="M131" s="265"/>
      <c r="N131" s="265"/>
      <c r="O131" s="265"/>
      <c r="P131" s="266">
        <f t="shared" si="20"/>
        <v>0</v>
      </c>
    </row>
    <row r="132" spans="1:16">
      <c r="A132" s="656">
        <v>123</v>
      </c>
      <c r="B132" s="842" t="s">
        <v>92</v>
      </c>
      <c r="C132" s="795"/>
      <c r="D132" s="795" t="str">
        <f t="shared" si="21"/>
        <v>Year 2017</v>
      </c>
      <c r="E132" s="795"/>
      <c r="F132" s="843"/>
      <c r="G132" s="265"/>
      <c r="H132" s="844"/>
      <c r="I132" s="845"/>
      <c r="J132" s="847">
        <f t="shared" si="22"/>
        <v>8</v>
      </c>
      <c r="L132" s="265">
        <f t="shared" si="19"/>
        <v>0</v>
      </c>
      <c r="M132" s="265"/>
      <c r="N132" s="265"/>
      <c r="O132" s="265"/>
      <c r="P132" s="266">
        <f t="shared" si="20"/>
        <v>0</v>
      </c>
    </row>
    <row r="133" spans="1:16">
      <c r="A133" s="656">
        <v>124</v>
      </c>
      <c r="B133" s="842" t="s">
        <v>145</v>
      </c>
      <c r="C133" s="795"/>
      <c r="D133" s="795" t="str">
        <f t="shared" si="21"/>
        <v>Year 2017</v>
      </c>
      <c r="E133" s="795"/>
      <c r="F133" s="843"/>
      <c r="G133" s="265"/>
      <c r="H133" s="844"/>
      <c r="I133" s="845"/>
      <c r="J133" s="847">
        <f t="shared" si="22"/>
        <v>7</v>
      </c>
      <c r="L133" s="265">
        <f t="shared" si="19"/>
        <v>0</v>
      </c>
      <c r="M133" s="265"/>
      <c r="N133" s="265"/>
      <c r="O133" s="265"/>
      <c r="P133" s="266">
        <f t="shared" si="20"/>
        <v>0</v>
      </c>
    </row>
    <row r="134" spans="1:16">
      <c r="A134" s="656">
        <v>125</v>
      </c>
      <c r="B134" s="842" t="s">
        <v>102</v>
      </c>
      <c r="C134" s="795"/>
      <c r="D134" s="795" t="str">
        <f t="shared" si="21"/>
        <v>Year 2017</v>
      </c>
      <c r="E134" s="795"/>
      <c r="F134" s="843"/>
      <c r="G134" s="265"/>
      <c r="H134" s="844"/>
      <c r="I134" s="845"/>
      <c r="J134" s="847">
        <f t="shared" si="22"/>
        <v>6</v>
      </c>
      <c r="L134" s="265">
        <f t="shared" si="19"/>
        <v>0</v>
      </c>
      <c r="M134" s="265"/>
      <c r="N134" s="265"/>
      <c r="O134" s="265"/>
      <c r="P134" s="266">
        <f t="shared" si="20"/>
        <v>0</v>
      </c>
    </row>
    <row r="135" spans="1:16">
      <c r="A135" s="656">
        <v>126</v>
      </c>
      <c r="B135" s="842" t="s">
        <v>101</v>
      </c>
      <c r="C135" s="795"/>
      <c r="D135" s="795" t="str">
        <f t="shared" si="21"/>
        <v>Year 2017</v>
      </c>
      <c r="E135" s="795"/>
      <c r="F135" s="843"/>
      <c r="G135" s="265"/>
      <c r="H135" s="844"/>
      <c r="I135" s="845"/>
      <c r="J135" s="847">
        <f t="shared" si="22"/>
        <v>5</v>
      </c>
      <c r="L135" s="265">
        <f t="shared" si="19"/>
        <v>0</v>
      </c>
      <c r="M135" s="265"/>
      <c r="N135" s="265"/>
      <c r="O135" s="265"/>
      <c r="P135" s="266">
        <f t="shared" si="20"/>
        <v>0</v>
      </c>
    </row>
    <row r="136" spans="1:16">
      <c r="A136" s="656">
        <v>127</v>
      </c>
      <c r="B136" s="842" t="s">
        <v>100</v>
      </c>
      <c r="C136" s="795"/>
      <c r="D136" s="795" t="str">
        <f t="shared" si="21"/>
        <v>Year 2017</v>
      </c>
      <c r="E136" s="795"/>
      <c r="F136" s="843"/>
      <c r="G136" s="265"/>
      <c r="H136" s="844"/>
      <c r="I136" s="845"/>
      <c r="J136" s="847">
        <f t="shared" si="22"/>
        <v>4</v>
      </c>
      <c r="L136" s="265">
        <f t="shared" si="19"/>
        <v>0</v>
      </c>
      <c r="M136" s="265"/>
      <c r="N136" s="265"/>
      <c r="O136" s="265"/>
      <c r="P136" s="266">
        <f t="shared" si="20"/>
        <v>0</v>
      </c>
    </row>
    <row r="137" spans="1:16">
      <c r="A137" s="656">
        <v>128</v>
      </c>
      <c r="B137" s="842" t="s">
        <v>106</v>
      </c>
      <c r="C137" s="795"/>
      <c r="D137" s="795" t="str">
        <f t="shared" si="21"/>
        <v>Year 2017</v>
      </c>
      <c r="E137" s="795"/>
      <c r="F137" s="843"/>
      <c r="G137" s="265"/>
      <c r="H137" s="844"/>
      <c r="I137" s="845"/>
      <c r="J137" s="847">
        <f t="shared" si="22"/>
        <v>3</v>
      </c>
      <c r="L137" s="265">
        <f t="shared" si="19"/>
        <v>0</v>
      </c>
      <c r="M137" s="265"/>
      <c r="N137" s="265"/>
      <c r="O137" s="265"/>
      <c r="P137" s="266">
        <f t="shared" si="20"/>
        <v>0</v>
      </c>
    </row>
    <row r="138" spans="1:16">
      <c r="A138" s="656">
        <v>129</v>
      </c>
      <c r="B138" s="842" t="s">
        <v>99</v>
      </c>
      <c r="C138" s="795"/>
      <c r="D138" s="795" t="str">
        <f t="shared" si="21"/>
        <v>Year 2017</v>
      </c>
      <c r="E138" s="795"/>
      <c r="F138" s="843"/>
      <c r="G138" s="265"/>
      <c r="H138" s="844"/>
      <c r="I138" s="845"/>
      <c r="J138" s="847">
        <f t="shared" si="22"/>
        <v>2</v>
      </c>
      <c r="L138" s="265">
        <f t="shared" si="19"/>
        <v>0</v>
      </c>
      <c r="M138" s="265"/>
      <c r="N138" s="265"/>
      <c r="O138" s="265"/>
      <c r="P138" s="266">
        <f t="shared" si="20"/>
        <v>0</v>
      </c>
    </row>
    <row r="139" spans="1:16">
      <c r="A139" s="656">
        <v>130</v>
      </c>
      <c r="B139" s="842" t="s">
        <v>98</v>
      </c>
      <c r="C139" s="795"/>
      <c r="D139" s="795" t="str">
        <f t="shared" si="21"/>
        <v>Year 2017</v>
      </c>
      <c r="E139" s="795"/>
      <c r="F139" s="843"/>
      <c r="G139" s="265"/>
      <c r="H139" s="844"/>
      <c r="I139" s="845"/>
      <c r="J139" s="847">
        <f t="shared" si="22"/>
        <v>1</v>
      </c>
      <c r="L139" s="267">
        <f t="shared" si="19"/>
        <v>0</v>
      </c>
      <c r="M139" s="265"/>
      <c r="N139" s="265"/>
      <c r="O139" s="265"/>
      <c r="P139" s="266">
        <f t="shared" si="20"/>
        <v>0</v>
      </c>
    </row>
    <row r="140" spans="1:16">
      <c r="A140" s="656">
        <v>131</v>
      </c>
      <c r="B140" s="842"/>
      <c r="C140" s="795"/>
      <c r="D140" s="795"/>
      <c r="E140" s="795"/>
      <c r="F140" s="265"/>
      <c r="G140" s="265"/>
      <c r="H140" s="845"/>
      <c r="I140" s="845"/>
      <c r="L140" s="265">
        <f>SUM(L128:L139)</f>
        <v>0</v>
      </c>
      <c r="M140" s="265"/>
      <c r="N140" s="265"/>
      <c r="O140" s="265"/>
      <c r="P140" s="268">
        <f>SUM(P128:P139)</f>
        <v>0</v>
      </c>
    </row>
    <row r="141" spans="1:16">
      <c r="A141" s="656">
        <v>132</v>
      </c>
      <c r="B141" s="842"/>
      <c r="C141" s="795"/>
      <c r="D141" s="795"/>
      <c r="E141" s="795"/>
      <c r="F141" s="265"/>
      <c r="G141" s="265"/>
      <c r="H141" s="845"/>
      <c r="I141" s="845"/>
      <c r="L141" s="265"/>
      <c r="M141" s="265"/>
      <c r="N141" s="265"/>
      <c r="O141" s="265"/>
      <c r="P141" s="268"/>
    </row>
    <row r="142" spans="1:16">
      <c r="A142" s="656">
        <v>133</v>
      </c>
      <c r="B142" s="842"/>
      <c r="C142" s="795"/>
      <c r="D142" s="795"/>
      <c r="E142" s="795"/>
      <c r="F142" s="265"/>
      <c r="G142" s="265"/>
      <c r="H142" s="845"/>
      <c r="I142" s="845"/>
      <c r="L142" s="119" t="s">
        <v>1128</v>
      </c>
      <c r="M142" s="265"/>
      <c r="N142" s="265"/>
      <c r="O142" s="265"/>
      <c r="P142" s="268"/>
    </row>
    <row r="143" spans="1:16">
      <c r="A143" s="656">
        <v>134</v>
      </c>
      <c r="B143" s="842"/>
      <c r="C143" s="795"/>
      <c r="D143" s="795"/>
      <c r="E143" s="795"/>
      <c r="F143" s="265"/>
      <c r="G143" s="265"/>
      <c r="H143" s="845"/>
      <c r="I143" s="845"/>
      <c r="L143" s="119"/>
      <c r="M143" s="265"/>
      <c r="N143" s="265"/>
      <c r="O143" s="265"/>
      <c r="P143" s="268"/>
    </row>
    <row r="144" spans="1:16">
      <c r="A144" s="656">
        <v>135</v>
      </c>
      <c r="B144" s="842" t="s">
        <v>146</v>
      </c>
      <c r="C144" s="795"/>
      <c r="D144" s="15" t="str">
        <f>+D100</f>
        <v>Year 2018</v>
      </c>
      <c r="E144" s="795"/>
      <c r="F144" s="823">
        <f>P140</f>
        <v>0</v>
      </c>
      <c r="G144" s="823"/>
      <c r="H144" s="844"/>
      <c r="I144" s="845"/>
      <c r="J144" s="846">
        <v>12</v>
      </c>
      <c r="K144" s="795"/>
      <c r="L144" s="265">
        <f>+J144*H144*F144</f>
        <v>0</v>
      </c>
      <c r="M144" s="265"/>
      <c r="N144" s="265"/>
      <c r="O144" s="265"/>
      <c r="P144" s="268">
        <f>+F144+L144</f>
        <v>0</v>
      </c>
    </row>
    <row r="145" spans="1:16">
      <c r="A145" s="656">
        <v>136</v>
      </c>
      <c r="B145" s="842" t="s">
        <v>146</v>
      </c>
      <c r="C145" s="795"/>
      <c r="D145" s="15" t="str">
        <f>+D101</f>
        <v>Year 2019</v>
      </c>
      <c r="E145" s="795"/>
      <c r="F145" s="823">
        <f>P144</f>
        <v>0</v>
      </c>
      <c r="G145" s="823"/>
      <c r="H145" s="844"/>
      <c r="I145" s="845"/>
      <c r="J145" s="846">
        <v>12</v>
      </c>
      <c r="K145" s="795"/>
      <c r="L145" s="265">
        <f>+J145*H145*F145</f>
        <v>0</v>
      </c>
      <c r="M145" s="265"/>
      <c r="N145" s="265"/>
      <c r="O145" s="265"/>
      <c r="P145" s="268">
        <f>+F145+L145</f>
        <v>0</v>
      </c>
    </row>
    <row r="146" spans="1:16">
      <c r="A146" s="656">
        <v>137</v>
      </c>
      <c r="B146" s="842" t="s">
        <v>146</v>
      </c>
      <c r="C146" s="795"/>
      <c r="D146" s="15" t="str">
        <f>+D102</f>
        <v>Year 2020</v>
      </c>
      <c r="E146" s="795"/>
      <c r="F146" s="823">
        <f>P145</f>
        <v>0</v>
      </c>
      <c r="G146" s="823"/>
      <c r="H146" s="844"/>
      <c r="I146" s="845"/>
      <c r="J146" s="846">
        <v>12</v>
      </c>
      <c r="K146" s="795"/>
      <c r="L146" s="265">
        <f>+J146*H146*F146</f>
        <v>0</v>
      </c>
      <c r="M146" s="265"/>
      <c r="N146" s="265"/>
      <c r="O146" s="265"/>
      <c r="P146" s="268">
        <f>+F146+L146</f>
        <v>0</v>
      </c>
    </row>
    <row r="147" spans="1:16">
      <c r="A147" s="656">
        <v>138</v>
      </c>
      <c r="B147" s="842"/>
      <c r="C147" s="795"/>
      <c r="D147" s="795"/>
      <c r="E147" s="795"/>
      <c r="F147" s="823"/>
      <c r="G147" s="823"/>
      <c r="H147" s="845"/>
      <c r="I147" s="845"/>
      <c r="J147" s="795"/>
      <c r="K147" s="795"/>
      <c r="L147" s="265"/>
      <c r="M147" s="265"/>
      <c r="N147" s="265"/>
      <c r="O147" s="265"/>
      <c r="P147" s="268"/>
    </row>
    <row r="148" spans="1:16">
      <c r="A148" s="656">
        <v>139</v>
      </c>
      <c r="B148" s="842"/>
      <c r="C148" s="795"/>
      <c r="D148" s="795"/>
      <c r="E148" s="795"/>
      <c r="F148" s="823"/>
      <c r="G148" s="823"/>
      <c r="H148" s="845"/>
      <c r="I148" s="845"/>
      <c r="J148" s="795"/>
      <c r="K148" s="795"/>
      <c r="L148" s="265"/>
      <c r="M148" s="265"/>
      <c r="N148" s="265"/>
      <c r="O148" s="265"/>
      <c r="P148" s="266"/>
    </row>
    <row r="149" spans="1:16">
      <c r="A149" s="656">
        <v>140</v>
      </c>
      <c r="B149" s="848" t="s">
        <v>147</v>
      </c>
      <c r="C149" s="849"/>
      <c r="D149" s="795"/>
      <c r="E149" s="795"/>
      <c r="F149" s="265"/>
      <c r="G149" s="265"/>
      <c r="H149" s="845"/>
      <c r="I149" s="845"/>
      <c r="J149" s="795"/>
      <c r="K149" s="795"/>
      <c r="L149" s="119" t="s">
        <v>144</v>
      </c>
      <c r="M149" s="119"/>
      <c r="N149" s="265"/>
      <c r="O149" s="265"/>
      <c r="P149" s="266"/>
    </row>
    <row r="150" spans="1:16">
      <c r="A150" s="656">
        <v>141</v>
      </c>
      <c r="B150" s="842" t="s">
        <v>105</v>
      </c>
      <c r="C150" s="795"/>
      <c r="D150" s="795" t="str">
        <f>+D106</f>
        <v>Year 2021</v>
      </c>
      <c r="E150" s="795"/>
      <c r="F150" s="850">
        <f>-P146</f>
        <v>0</v>
      </c>
      <c r="G150" s="823"/>
      <c r="H150" s="844"/>
      <c r="I150" s="845"/>
      <c r="J150" s="795"/>
      <c r="K150" s="795"/>
      <c r="L150" s="265">
        <f t="shared" ref="L150:L161" si="23" xml:space="preserve"> -H150*F150</f>
        <v>0</v>
      </c>
      <c r="M150" s="265"/>
      <c r="N150" s="265">
        <f>-PMT(H150,12,P146)</f>
        <v>0</v>
      </c>
      <c r="O150" s="265"/>
      <c r="P150" s="266">
        <f t="shared" ref="P150:P161" si="24">(+F150+F150*H150+N150)*-1</f>
        <v>0</v>
      </c>
    </row>
    <row r="151" spans="1:16">
      <c r="A151" s="656">
        <v>142</v>
      </c>
      <c r="B151" s="842" t="s">
        <v>104</v>
      </c>
      <c r="C151" s="795"/>
      <c r="D151" s="795" t="str">
        <f>+D150</f>
        <v>Year 2021</v>
      </c>
      <c r="E151" s="795"/>
      <c r="F151" s="823">
        <f t="shared" ref="F151:F161" si="25">-P150</f>
        <v>0</v>
      </c>
      <c r="G151" s="823"/>
      <c r="H151" s="844"/>
      <c r="I151" s="845"/>
      <c r="J151" s="795"/>
      <c r="K151" s="795"/>
      <c r="L151" s="265">
        <f t="shared" si="23"/>
        <v>0</v>
      </c>
      <c r="M151" s="265"/>
      <c r="N151" s="265">
        <f t="shared" ref="N151:N161" si="26">N150</f>
        <v>0</v>
      </c>
      <c r="O151" s="265"/>
      <c r="P151" s="266">
        <f t="shared" si="24"/>
        <v>0</v>
      </c>
    </row>
    <row r="152" spans="1:16">
      <c r="A152" s="656">
        <v>143</v>
      </c>
      <c r="B152" s="842" t="s">
        <v>103</v>
      </c>
      <c r="C152" s="795"/>
      <c r="D152" s="795" t="str">
        <f>+D151</f>
        <v>Year 2021</v>
      </c>
      <c r="E152" s="795"/>
      <c r="F152" s="823">
        <f t="shared" si="25"/>
        <v>0</v>
      </c>
      <c r="G152" s="823"/>
      <c r="H152" s="844"/>
      <c r="I152" s="845"/>
      <c r="J152" s="795"/>
      <c r="K152" s="795"/>
      <c r="L152" s="265">
        <f t="shared" si="23"/>
        <v>0</v>
      </c>
      <c r="M152" s="265"/>
      <c r="N152" s="265">
        <f t="shared" si="26"/>
        <v>0</v>
      </c>
      <c r="O152" s="265"/>
      <c r="P152" s="266">
        <f t="shared" si="24"/>
        <v>0</v>
      </c>
    </row>
    <row r="153" spans="1:16">
      <c r="A153" s="656">
        <v>144</v>
      </c>
      <c r="B153" s="842" t="s">
        <v>95</v>
      </c>
      <c r="C153" s="795"/>
      <c r="D153" s="795" t="str">
        <f>+D152</f>
        <v>Year 2021</v>
      </c>
      <c r="E153" s="795"/>
      <c r="F153" s="823">
        <f t="shared" si="25"/>
        <v>0</v>
      </c>
      <c r="G153" s="823"/>
      <c r="H153" s="844"/>
      <c r="I153" s="845"/>
      <c r="J153" s="795"/>
      <c r="K153" s="795"/>
      <c r="L153" s="265">
        <f t="shared" si="23"/>
        <v>0</v>
      </c>
      <c r="M153" s="265"/>
      <c r="N153" s="265">
        <f t="shared" si="26"/>
        <v>0</v>
      </c>
      <c r="O153" s="265"/>
      <c r="P153" s="266">
        <f t="shared" si="24"/>
        <v>0</v>
      </c>
    </row>
    <row r="154" spans="1:16">
      <c r="A154" s="656">
        <v>145</v>
      </c>
      <c r="B154" s="842" t="s">
        <v>92</v>
      </c>
      <c r="C154" s="795"/>
      <c r="D154" s="795" t="str">
        <f>+D153</f>
        <v>Year 2021</v>
      </c>
      <c r="E154" s="795"/>
      <c r="F154" s="823">
        <f t="shared" si="25"/>
        <v>0</v>
      </c>
      <c r="G154" s="823"/>
      <c r="H154" s="844"/>
      <c r="I154" s="845"/>
      <c r="J154" s="795"/>
      <c r="K154" s="795"/>
      <c r="L154" s="265">
        <f t="shared" si="23"/>
        <v>0</v>
      </c>
      <c r="M154" s="265"/>
      <c r="N154" s="265">
        <f t="shared" si="26"/>
        <v>0</v>
      </c>
      <c r="O154" s="265"/>
      <c r="P154" s="266">
        <f t="shared" si="24"/>
        <v>0</v>
      </c>
    </row>
    <row r="155" spans="1:16">
      <c r="A155" s="656">
        <v>146</v>
      </c>
      <c r="B155" s="842" t="s">
        <v>145</v>
      </c>
      <c r="C155" s="795"/>
      <c r="D155" s="795" t="str">
        <f>D154</f>
        <v>Year 2021</v>
      </c>
      <c r="E155" s="795"/>
      <c r="F155" s="823">
        <f t="shared" si="25"/>
        <v>0</v>
      </c>
      <c r="G155" s="823"/>
      <c r="H155" s="844"/>
      <c r="I155" s="845"/>
      <c r="J155" s="795"/>
      <c r="K155" s="795"/>
      <c r="L155" s="265">
        <f t="shared" si="23"/>
        <v>0</v>
      </c>
      <c r="M155" s="265"/>
      <c r="N155" s="265">
        <f t="shared" si="26"/>
        <v>0</v>
      </c>
      <c r="O155" s="265"/>
      <c r="P155" s="266">
        <f t="shared" si="24"/>
        <v>0</v>
      </c>
    </row>
    <row r="156" spans="1:16">
      <c r="A156" s="656">
        <v>147</v>
      </c>
      <c r="B156" s="842" t="s">
        <v>102</v>
      </c>
      <c r="C156" s="795"/>
      <c r="D156" s="795" t="str">
        <f t="shared" ref="D156:D161" si="27">+D155</f>
        <v>Year 2021</v>
      </c>
      <c r="E156" s="795"/>
      <c r="F156" s="823">
        <f t="shared" si="25"/>
        <v>0</v>
      </c>
      <c r="G156" s="823"/>
      <c r="H156" s="844"/>
      <c r="I156" s="845"/>
      <c r="J156" s="795"/>
      <c r="K156" s="795"/>
      <c r="L156" s="265">
        <f t="shared" si="23"/>
        <v>0</v>
      </c>
      <c r="M156" s="265"/>
      <c r="N156" s="265">
        <f t="shared" si="26"/>
        <v>0</v>
      </c>
      <c r="O156" s="265"/>
      <c r="P156" s="266">
        <f t="shared" si="24"/>
        <v>0</v>
      </c>
    </row>
    <row r="157" spans="1:16">
      <c r="A157" s="656">
        <v>148</v>
      </c>
      <c r="B157" s="842" t="s">
        <v>101</v>
      </c>
      <c r="C157" s="795"/>
      <c r="D157" s="795" t="str">
        <f t="shared" si="27"/>
        <v>Year 2021</v>
      </c>
      <c r="E157" s="795"/>
      <c r="F157" s="823">
        <f t="shared" si="25"/>
        <v>0</v>
      </c>
      <c r="G157" s="823"/>
      <c r="H157" s="844"/>
      <c r="I157" s="845"/>
      <c r="J157" s="795"/>
      <c r="K157" s="795"/>
      <c r="L157" s="265">
        <f t="shared" si="23"/>
        <v>0</v>
      </c>
      <c r="M157" s="265"/>
      <c r="N157" s="265">
        <f t="shared" si="26"/>
        <v>0</v>
      </c>
      <c r="O157" s="265"/>
      <c r="P157" s="266">
        <f t="shared" si="24"/>
        <v>0</v>
      </c>
    </row>
    <row r="158" spans="1:16">
      <c r="A158" s="656">
        <v>149</v>
      </c>
      <c r="B158" s="842" t="s">
        <v>100</v>
      </c>
      <c r="C158" s="795"/>
      <c r="D158" s="795" t="str">
        <f t="shared" si="27"/>
        <v>Year 2021</v>
      </c>
      <c r="E158" s="795"/>
      <c r="F158" s="823">
        <f t="shared" si="25"/>
        <v>0</v>
      </c>
      <c r="G158" s="823"/>
      <c r="H158" s="844"/>
      <c r="I158" s="845"/>
      <c r="J158" s="795"/>
      <c r="K158" s="795"/>
      <c r="L158" s="265">
        <f t="shared" si="23"/>
        <v>0</v>
      </c>
      <c r="M158" s="265"/>
      <c r="N158" s="265">
        <f t="shared" si="26"/>
        <v>0</v>
      </c>
      <c r="O158" s="265"/>
      <c r="P158" s="266">
        <f t="shared" si="24"/>
        <v>0</v>
      </c>
    </row>
    <row r="159" spans="1:16">
      <c r="A159" s="656">
        <v>150</v>
      </c>
      <c r="B159" s="842" t="s">
        <v>106</v>
      </c>
      <c r="C159" s="795"/>
      <c r="D159" s="795" t="str">
        <f t="shared" si="27"/>
        <v>Year 2021</v>
      </c>
      <c r="E159" s="795"/>
      <c r="F159" s="823">
        <f t="shared" si="25"/>
        <v>0</v>
      </c>
      <c r="G159" s="823"/>
      <c r="H159" s="844"/>
      <c r="I159" s="845"/>
      <c r="J159" s="795"/>
      <c r="K159" s="795"/>
      <c r="L159" s="265">
        <f t="shared" si="23"/>
        <v>0</v>
      </c>
      <c r="M159" s="265"/>
      <c r="N159" s="265">
        <f t="shared" si="26"/>
        <v>0</v>
      </c>
      <c r="O159" s="265"/>
      <c r="P159" s="266">
        <f t="shared" si="24"/>
        <v>0</v>
      </c>
    </row>
    <row r="160" spans="1:16">
      <c r="A160" s="656">
        <v>151</v>
      </c>
      <c r="B160" s="842" t="s">
        <v>99</v>
      </c>
      <c r="C160" s="795"/>
      <c r="D160" s="795" t="str">
        <f t="shared" si="27"/>
        <v>Year 2021</v>
      </c>
      <c r="E160" s="795"/>
      <c r="F160" s="823">
        <f t="shared" si="25"/>
        <v>0</v>
      </c>
      <c r="G160" s="823"/>
      <c r="H160" s="844"/>
      <c r="I160" s="845"/>
      <c r="J160" s="795"/>
      <c r="K160" s="795"/>
      <c r="L160" s="265">
        <f t="shared" si="23"/>
        <v>0</v>
      </c>
      <c r="M160" s="265"/>
      <c r="N160" s="265">
        <f t="shared" si="26"/>
        <v>0</v>
      </c>
      <c r="O160" s="265"/>
      <c r="P160" s="266">
        <f t="shared" si="24"/>
        <v>0</v>
      </c>
    </row>
    <row r="161" spans="1:16">
      <c r="A161" s="656">
        <v>152</v>
      </c>
      <c r="B161" s="842" t="s">
        <v>98</v>
      </c>
      <c r="C161" s="795"/>
      <c r="D161" s="795" t="str">
        <f t="shared" si="27"/>
        <v>Year 2021</v>
      </c>
      <c r="E161" s="795"/>
      <c r="F161" s="823">
        <f t="shared" si="25"/>
        <v>0</v>
      </c>
      <c r="G161" s="823"/>
      <c r="H161" s="844"/>
      <c r="I161" s="845"/>
      <c r="J161" s="795"/>
      <c r="K161" s="795"/>
      <c r="L161" s="267">
        <f t="shared" si="23"/>
        <v>0</v>
      </c>
      <c r="M161" s="265"/>
      <c r="N161" s="265">
        <f t="shared" si="26"/>
        <v>0</v>
      </c>
      <c r="O161" s="265"/>
      <c r="P161" s="266">
        <f t="shared" si="24"/>
        <v>0</v>
      </c>
    </row>
    <row r="162" spans="1:16">
      <c r="A162" s="656">
        <v>153</v>
      </c>
      <c r="B162" s="842"/>
      <c r="C162" s="795"/>
      <c r="D162" s="795"/>
      <c r="E162" s="795"/>
      <c r="F162" s="823"/>
      <c r="G162" s="823"/>
      <c r="H162" s="845"/>
      <c r="I162" s="845"/>
      <c r="J162" s="795"/>
      <c r="K162" s="795"/>
      <c r="L162" s="265">
        <f>SUM(L150:L161)</f>
        <v>0</v>
      </c>
      <c r="M162" s="265"/>
      <c r="N162" s="265"/>
      <c r="O162" s="265"/>
      <c r="P162" s="266"/>
    </row>
    <row r="163" spans="1:16">
      <c r="A163" s="656">
        <v>154</v>
      </c>
      <c r="B163" s="634"/>
      <c r="P163" s="627"/>
    </row>
    <row r="164" spans="1:16">
      <c r="A164" s="656">
        <v>155</v>
      </c>
      <c r="B164" s="842" t="s">
        <v>906</v>
      </c>
      <c r="C164" s="795"/>
      <c r="F164" s="15" t="s">
        <v>1131</v>
      </c>
      <c r="N164" s="269">
        <f>SUM(N150:N161)</f>
        <v>0</v>
      </c>
      <c r="P164" s="627"/>
    </row>
    <row r="165" spans="1:16">
      <c r="A165" s="656">
        <v>156</v>
      </c>
      <c r="B165" s="842" t="s">
        <v>148</v>
      </c>
      <c r="C165" s="795"/>
      <c r="F165" s="15" t="s">
        <v>955</v>
      </c>
      <c r="N165" s="269">
        <f>L12</f>
        <v>0</v>
      </c>
      <c r="P165" s="627"/>
    </row>
    <row r="166" spans="1:16">
      <c r="A166" s="656">
        <v>157</v>
      </c>
      <c r="B166" s="851" t="s">
        <v>149</v>
      </c>
      <c r="C166" s="852"/>
      <c r="D166" s="270"/>
      <c r="E166" s="270"/>
      <c r="F166" s="270" t="s">
        <v>956</v>
      </c>
      <c r="G166" s="270"/>
      <c r="H166" s="270"/>
      <c r="I166" s="270"/>
      <c r="J166" s="270"/>
      <c r="K166" s="270"/>
      <c r="L166" s="270"/>
      <c r="M166" s="270"/>
      <c r="N166" s="271">
        <f>(N164+N165)</f>
        <v>0</v>
      </c>
      <c r="O166" s="270"/>
      <c r="P166" s="630"/>
    </row>
    <row r="167" spans="1:16">
      <c r="A167" s="656">
        <v>158</v>
      </c>
    </row>
    <row r="168" spans="1:16">
      <c r="A168" s="656">
        <v>159</v>
      </c>
      <c r="P168" s="299" t="s">
        <v>946</v>
      </c>
    </row>
    <row r="169" spans="1:16">
      <c r="A169" s="656">
        <v>160</v>
      </c>
      <c r="B169" s="997" t="s">
        <v>155</v>
      </c>
      <c r="C169" s="997"/>
      <c r="D169" s="997"/>
      <c r="E169" s="997"/>
      <c r="F169" s="997"/>
      <c r="G169" s="997"/>
      <c r="H169" s="997"/>
      <c r="I169" s="997"/>
      <c r="J169" s="997"/>
      <c r="K169" s="997"/>
      <c r="L169" s="997"/>
      <c r="M169" s="997"/>
      <c r="N169" s="997"/>
    </row>
    <row r="170" spans="1:16">
      <c r="A170" s="656">
        <v>161</v>
      </c>
      <c r="B170" s="974" t="str">
        <f>+H3</f>
        <v>Gridliance High Plains LLC</v>
      </c>
      <c r="C170" s="974"/>
      <c r="D170" s="974"/>
      <c r="E170" s="974"/>
      <c r="F170" s="974"/>
      <c r="G170" s="974"/>
      <c r="H170" s="974"/>
      <c r="I170" s="974"/>
      <c r="J170" s="974"/>
      <c r="K170" s="974"/>
      <c r="L170" s="974"/>
      <c r="M170" s="974"/>
      <c r="N170" s="974"/>
    </row>
    <row r="171" spans="1:16">
      <c r="A171" s="656">
        <v>162</v>
      </c>
      <c r="B171" s="997"/>
      <c r="C171" s="997"/>
      <c r="D171" s="997"/>
      <c r="E171" s="997"/>
      <c r="F171" s="997"/>
      <c r="G171" s="997"/>
      <c r="H171" s="997"/>
      <c r="I171" s="997"/>
      <c r="J171" s="997"/>
      <c r="K171" s="997"/>
      <c r="L171" s="997"/>
      <c r="M171" s="997"/>
      <c r="N171" s="997"/>
    </row>
    <row r="172" spans="1:16">
      <c r="A172" s="656">
        <v>163</v>
      </c>
    </row>
    <row r="173" spans="1:16">
      <c r="A173" s="656">
        <v>164</v>
      </c>
      <c r="B173" s="832" t="s">
        <v>546</v>
      </c>
      <c r="C173" s="833"/>
      <c r="D173" s="834"/>
      <c r="E173" s="834"/>
      <c r="F173" s="834"/>
      <c r="G173" s="834"/>
      <c r="H173" s="835"/>
      <c r="I173" s="835"/>
      <c r="J173" s="835"/>
      <c r="K173" s="835"/>
      <c r="L173" s="836"/>
      <c r="M173" s="836"/>
      <c r="N173" s="834"/>
      <c r="O173" s="834"/>
      <c r="P173" s="837"/>
    </row>
    <row r="174" spans="1:16">
      <c r="A174" s="656">
        <v>165</v>
      </c>
      <c r="B174" s="838"/>
      <c r="C174" s="839"/>
      <c r="D174" s="796"/>
      <c r="E174" s="796"/>
      <c r="F174" s="796"/>
      <c r="G174" s="796"/>
      <c r="H174" s="795"/>
      <c r="I174" s="795"/>
      <c r="J174" s="795"/>
      <c r="K174" s="795"/>
      <c r="L174" s="797" t="s">
        <v>144</v>
      </c>
      <c r="M174" s="797"/>
      <c r="N174" s="796"/>
      <c r="O174" s="796"/>
      <c r="P174" s="840"/>
    </row>
    <row r="175" spans="1:16">
      <c r="A175" s="656">
        <v>166</v>
      </c>
      <c r="B175" s="841"/>
      <c r="C175" s="839"/>
      <c r="D175" s="796"/>
      <c r="E175" s="796"/>
      <c r="F175" s="796"/>
      <c r="G175" s="796"/>
      <c r="H175" s="795"/>
      <c r="I175" s="795"/>
      <c r="J175" s="795"/>
      <c r="K175" s="795"/>
      <c r="L175" s="797"/>
      <c r="M175" s="797"/>
      <c r="N175" s="796"/>
      <c r="O175" s="796"/>
      <c r="P175" s="840"/>
    </row>
    <row r="176" spans="1:16">
      <c r="A176" s="656">
        <v>167</v>
      </c>
      <c r="B176" s="842" t="s">
        <v>105</v>
      </c>
      <c r="C176" s="795"/>
      <c r="D176" s="795" t="str">
        <f>+D144</f>
        <v>Year 2018</v>
      </c>
      <c r="E176" s="795"/>
      <c r="F176" s="843"/>
      <c r="G176" s="265"/>
      <c r="H176" s="844"/>
      <c r="I176" s="845"/>
      <c r="J176" s="846">
        <v>12</v>
      </c>
      <c r="K176" s="795"/>
      <c r="L176" s="265">
        <f t="shared" ref="L176:L187" si="28">H176*F176*J176*-1</f>
        <v>0</v>
      </c>
      <c r="M176" s="265"/>
      <c r="N176" s="265"/>
      <c r="O176" s="265"/>
      <c r="P176" s="266">
        <f t="shared" ref="P176:P187" si="29">(-L176+F176)*-1</f>
        <v>0</v>
      </c>
    </row>
    <row r="177" spans="1:16">
      <c r="A177" s="656">
        <v>168</v>
      </c>
      <c r="B177" s="842" t="s">
        <v>104</v>
      </c>
      <c r="C177" s="795"/>
      <c r="D177" s="795" t="str">
        <f t="shared" ref="D177:D187" si="30">D176</f>
        <v>Year 2018</v>
      </c>
      <c r="E177" s="795"/>
      <c r="F177" s="843"/>
      <c r="G177" s="265"/>
      <c r="H177" s="844"/>
      <c r="I177" s="845"/>
      <c r="J177" s="847">
        <f t="shared" ref="J177:J187" si="31">+J176-1</f>
        <v>11</v>
      </c>
      <c r="L177" s="265">
        <f t="shared" si="28"/>
        <v>0</v>
      </c>
      <c r="M177" s="265"/>
      <c r="N177" s="265"/>
      <c r="O177" s="265"/>
      <c r="P177" s="266">
        <f t="shared" si="29"/>
        <v>0</v>
      </c>
    </row>
    <row r="178" spans="1:16">
      <c r="A178" s="656">
        <v>169</v>
      </c>
      <c r="B178" s="842" t="s">
        <v>103</v>
      </c>
      <c r="C178" s="795"/>
      <c r="D178" s="795" t="str">
        <f t="shared" si="30"/>
        <v>Year 2018</v>
      </c>
      <c r="E178" s="795"/>
      <c r="F178" s="843"/>
      <c r="G178" s="265"/>
      <c r="H178" s="844"/>
      <c r="I178" s="845"/>
      <c r="J178" s="847">
        <f t="shared" si="31"/>
        <v>10</v>
      </c>
      <c r="L178" s="265">
        <f t="shared" si="28"/>
        <v>0</v>
      </c>
      <c r="M178" s="265"/>
      <c r="N178" s="265"/>
      <c r="O178" s="265"/>
      <c r="P178" s="266">
        <f t="shared" si="29"/>
        <v>0</v>
      </c>
    </row>
    <row r="179" spans="1:16">
      <c r="A179" s="656">
        <v>170</v>
      </c>
      <c r="B179" s="842" t="s">
        <v>95</v>
      </c>
      <c r="C179" s="795"/>
      <c r="D179" s="795" t="str">
        <f t="shared" si="30"/>
        <v>Year 2018</v>
      </c>
      <c r="E179" s="795"/>
      <c r="F179" s="843"/>
      <c r="G179" s="265"/>
      <c r="H179" s="844"/>
      <c r="I179" s="845"/>
      <c r="J179" s="847">
        <f t="shared" si="31"/>
        <v>9</v>
      </c>
      <c r="L179" s="265">
        <f t="shared" si="28"/>
        <v>0</v>
      </c>
      <c r="M179" s="265"/>
      <c r="N179" s="265"/>
      <c r="O179" s="265"/>
      <c r="P179" s="266">
        <f t="shared" si="29"/>
        <v>0</v>
      </c>
    </row>
    <row r="180" spans="1:16">
      <c r="A180" s="656">
        <v>171</v>
      </c>
      <c r="B180" s="842" t="s">
        <v>92</v>
      </c>
      <c r="C180" s="795"/>
      <c r="D180" s="795" t="str">
        <f t="shared" si="30"/>
        <v>Year 2018</v>
      </c>
      <c r="E180" s="795"/>
      <c r="F180" s="843"/>
      <c r="G180" s="265"/>
      <c r="H180" s="844"/>
      <c r="I180" s="845"/>
      <c r="J180" s="847">
        <f t="shared" si="31"/>
        <v>8</v>
      </c>
      <c r="L180" s="265">
        <f t="shared" si="28"/>
        <v>0</v>
      </c>
      <c r="M180" s="265"/>
      <c r="N180" s="265"/>
      <c r="O180" s="265"/>
      <c r="P180" s="266">
        <f t="shared" si="29"/>
        <v>0</v>
      </c>
    </row>
    <row r="181" spans="1:16">
      <c r="A181" s="656">
        <v>172</v>
      </c>
      <c r="B181" s="842" t="s">
        <v>145</v>
      </c>
      <c r="C181" s="795"/>
      <c r="D181" s="795" t="str">
        <f t="shared" si="30"/>
        <v>Year 2018</v>
      </c>
      <c r="E181" s="795"/>
      <c r="F181" s="843"/>
      <c r="G181" s="265"/>
      <c r="H181" s="844"/>
      <c r="I181" s="845"/>
      <c r="J181" s="847">
        <f t="shared" si="31"/>
        <v>7</v>
      </c>
      <c r="L181" s="265">
        <f t="shared" si="28"/>
        <v>0</v>
      </c>
      <c r="M181" s="265"/>
      <c r="N181" s="265"/>
      <c r="O181" s="265"/>
      <c r="P181" s="266">
        <f t="shared" si="29"/>
        <v>0</v>
      </c>
    </row>
    <row r="182" spans="1:16">
      <c r="A182" s="656">
        <v>173</v>
      </c>
      <c r="B182" s="842" t="s">
        <v>102</v>
      </c>
      <c r="C182" s="795"/>
      <c r="D182" s="795" t="str">
        <f t="shared" si="30"/>
        <v>Year 2018</v>
      </c>
      <c r="E182" s="795"/>
      <c r="F182" s="843"/>
      <c r="G182" s="265"/>
      <c r="H182" s="844"/>
      <c r="I182" s="845"/>
      <c r="J182" s="847">
        <f t="shared" si="31"/>
        <v>6</v>
      </c>
      <c r="L182" s="265">
        <f t="shared" si="28"/>
        <v>0</v>
      </c>
      <c r="M182" s="265"/>
      <c r="N182" s="265"/>
      <c r="O182" s="265"/>
      <c r="P182" s="266">
        <f t="shared" si="29"/>
        <v>0</v>
      </c>
    </row>
    <row r="183" spans="1:16">
      <c r="A183" s="656">
        <v>174</v>
      </c>
      <c r="B183" s="842" t="s">
        <v>101</v>
      </c>
      <c r="C183" s="795"/>
      <c r="D183" s="795" t="str">
        <f t="shared" si="30"/>
        <v>Year 2018</v>
      </c>
      <c r="E183" s="795"/>
      <c r="F183" s="843"/>
      <c r="G183" s="265"/>
      <c r="H183" s="844"/>
      <c r="I183" s="845"/>
      <c r="J183" s="847">
        <f t="shared" si="31"/>
        <v>5</v>
      </c>
      <c r="L183" s="265">
        <f t="shared" si="28"/>
        <v>0</v>
      </c>
      <c r="M183" s="265"/>
      <c r="N183" s="265"/>
      <c r="O183" s="265"/>
      <c r="P183" s="266">
        <f t="shared" si="29"/>
        <v>0</v>
      </c>
    </row>
    <row r="184" spans="1:16">
      <c r="A184" s="656">
        <v>175</v>
      </c>
      <c r="B184" s="842" t="s">
        <v>100</v>
      </c>
      <c r="C184" s="795"/>
      <c r="D184" s="795" t="str">
        <f t="shared" si="30"/>
        <v>Year 2018</v>
      </c>
      <c r="E184" s="795"/>
      <c r="F184" s="843"/>
      <c r="G184" s="265"/>
      <c r="H184" s="844"/>
      <c r="I184" s="845"/>
      <c r="J184" s="847">
        <f t="shared" si="31"/>
        <v>4</v>
      </c>
      <c r="L184" s="265">
        <f t="shared" si="28"/>
        <v>0</v>
      </c>
      <c r="M184" s="265"/>
      <c r="N184" s="265"/>
      <c r="O184" s="265"/>
      <c r="P184" s="266">
        <f t="shared" si="29"/>
        <v>0</v>
      </c>
    </row>
    <row r="185" spans="1:16">
      <c r="A185" s="656">
        <v>176</v>
      </c>
      <c r="B185" s="842" t="s">
        <v>106</v>
      </c>
      <c r="C185" s="795"/>
      <c r="D185" s="795" t="str">
        <f t="shared" si="30"/>
        <v>Year 2018</v>
      </c>
      <c r="E185" s="795"/>
      <c r="F185" s="843"/>
      <c r="G185" s="265"/>
      <c r="H185" s="844"/>
      <c r="I185" s="845"/>
      <c r="J185" s="847">
        <f t="shared" si="31"/>
        <v>3</v>
      </c>
      <c r="L185" s="265">
        <f t="shared" si="28"/>
        <v>0</v>
      </c>
      <c r="M185" s="265"/>
      <c r="N185" s="265"/>
      <c r="O185" s="265"/>
      <c r="P185" s="266">
        <f t="shared" si="29"/>
        <v>0</v>
      </c>
    </row>
    <row r="186" spans="1:16">
      <c r="A186" s="656">
        <v>177</v>
      </c>
      <c r="B186" s="842" t="s">
        <v>99</v>
      </c>
      <c r="C186" s="795"/>
      <c r="D186" s="795" t="str">
        <f t="shared" si="30"/>
        <v>Year 2018</v>
      </c>
      <c r="E186" s="795"/>
      <c r="F186" s="843"/>
      <c r="G186" s="265"/>
      <c r="H186" s="844"/>
      <c r="I186" s="845"/>
      <c r="J186" s="847">
        <f t="shared" si="31"/>
        <v>2</v>
      </c>
      <c r="L186" s="265">
        <f t="shared" si="28"/>
        <v>0</v>
      </c>
      <c r="M186" s="265"/>
      <c r="N186" s="265"/>
      <c r="O186" s="265"/>
      <c r="P186" s="266">
        <f t="shared" si="29"/>
        <v>0</v>
      </c>
    </row>
    <row r="187" spans="1:16">
      <c r="A187" s="656">
        <v>178</v>
      </c>
      <c r="B187" s="842" t="s">
        <v>98</v>
      </c>
      <c r="C187" s="795"/>
      <c r="D187" s="795" t="str">
        <f t="shared" si="30"/>
        <v>Year 2018</v>
      </c>
      <c r="E187" s="795"/>
      <c r="F187" s="843"/>
      <c r="G187" s="265"/>
      <c r="H187" s="844"/>
      <c r="I187" s="845"/>
      <c r="J187" s="847">
        <f t="shared" si="31"/>
        <v>1</v>
      </c>
      <c r="L187" s="267">
        <f t="shared" si="28"/>
        <v>0</v>
      </c>
      <c r="M187" s="265"/>
      <c r="N187" s="265"/>
      <c r="O187" s="265"/>
      <c r="P187" s="266">
        <f t="shared" si="29"/>
        <v>0</v>
      </c>
    </row>
    <row r="188" spans="1:16">
      <c r="A188" s="656">
        <v>179</v>
      </c>
      <c r="B188" s="842"/>
      <c r="C188" s="795"/>
      <c r="D188" s="795"/>
      <c r="E188" s="795"/>
      <c r="F188" s="265"/>
      <c r="G188" s="265"/>
      <c r="H188" s="845"/>
      <c r="I188" s="845"/>
      <c r="L188" s="265">
        <f>SUM(L176:L187)</f>
        <v>0</v>
      </c>
      <c r="M188" s="265"/>
      <c r="N188" s="265"/>
      <c r="O188" s="265"/>
      <c r="P188" s="268">
        <f>SUM(P176:P187)</f>
        <v>0</v>
      </c>
    </row>
    <row r="189" spans="1:16">
      <c r="A189" s="656">
        <v>180</v>
      </c>
      <c r="B189" s="842"/>
      <c r="C189" s="795"/>
      <c r="D189" s="795"/>
      <c r="E189" s="795"/>
      <c r="F189" s="265"/>
      <c r="G189" s="265"/>
      <c r="H189" s="845"/>
      <c r="I189" s="845"/>
      <c r="L189" s="265"/>
      <c r="M189" s="265"/>
      <c r="N189" s="265"/>
      <c r="O189" s="265"/>
      <c r="P189" s="268"/>
    </row>
    <row r="190" spans="1:16">
      <c r="A190" s="656">
        <v>181</v>
      </c>
      <c r="B190" s="842"/>
      <c r="C190" s="795"/>
      <c r="D190" s="795"/>
      <c r="E190" s="795"/>
      <c r="F190" s="265"/>
      <c r="G190" s="265"/>
      <c r="H190" s="845"/>
      <c r="I190" s="845"/>
      <c r="L190" s="119" t="s">
        <v>1128</v>
      </c>
      <c r="M190" s="265"/>
      <c r="N190" s="265"/>
      <c r="O190" s="265"/>
      <c r="P190" s="268"/>
    </row>
    <row r="191" spans="1:16">
      <c r="A191" s="656">
        <v>182</v>
      </c>
      <c r="B191" s="842"/>
      <c r="C191" s="795"/>
      <c r="D191" s="795"/>
      <c r="E191" s="795"/>
      <c r="F191" s="265"/>
      <c r="G191" s="265"/>
      <c r="H191" s="845"/>
      <c r="I191" s="845"/>
      <c r="L191" s="119"/>
      <c r="M191" s="265"/>
      <c r="N191" s="265"/>
      <c r="O191" s="265"/>
      <c r="P191" s="268"/>
    </row>
    <row r="192" spans="1:16">
      <c r="A192" s="656">
        <v>183</v>
      </c>
      <c r="B192" s="842" t="s">
        <v>146</v>
      </c>
      <c r="C192" s="795"/>
      <c r="D192" s="795" t="str">
        <f>+D145</f>
        <v>Year 2019</v>
      </c>
      <c r="E192" s="795"/>
      <c r="F192" s="823">
        <f>P188</f>
        <v>0</v>
      </c>
      <c r="G192" s="823"/>
      <c r="H192" s="844"/>
      <c r="I192" s="845"/>
      <c r="J192" s="846">
        <v>12</v>
      </c>
      <c r="K192" s="795"/>
      <c r="L192" s="265">
        <f>+J192*H192*F192</f>
        <v>0</v>
      </c>
      <c r="M192" s="265"/>
      <c r="N192" s="265"/>
      <c r="O192" s="265"/>
      <c r="P192" s="268">
        <f>+F192+L192</f>
        <v>0</v>
      </c>
    </row>
    <row r="193" spans="1:16">
      <c r="A193" s="656">
        <v>184</v>
      </c>
      <c r="B193" s="842" t="s">
        <v>146</v>
      </c>
      <c r="C193" s="795"/>
      <c r="D193" s="795" t="str">
        <f>+D146</f>
        <v>Year 2020</v>
      </c>
      <c r="E193" s="795"/>
      <c r="F193" s="823">
        <f>P192</f>
        <v>0</v>
      </c>
      <c r="G193" s="823"/>
      <c r="H193" s="844"/>
      <c r="I193" s="845"/>
      <c r="J193" s="846">
        <v>12</v>
      </c>
      <c r="K193" s="795"/>
      <c r="L193" s="265">
        <f>+J193*H193*F193</f>
        <v>0</v>
      </c>
      <c r="M193" s="265"/>
      <c r="N193" s="265"/>
      <c r="O193" s="265"/>
      <c r="P193" s="268">
        <f>+F193+L193</f>
        <v>0</v>
      </c>
    </row>
    <row r="194" spans="1:16">
      <c r="A194" s="656">
        <v>185</v>
      </c>
      <c r="B194" s="842"/>
      <c r="C194" s="795"/>
      <c r="D194" s="795"/>
      <c r="E194" s="795"/>
      <c r="F194" s="823"/>
      <c r="G194" s="823"/>
      <c r="H194" s="845"/>
      <c r="I194" s="845"/>
      <c r="J194" s="795"/>
      <c r="K194" s="795"/>
      <c r="L194" s="265"/>
      <c r="M194" s="265"/>
      <c r="N194" s="265"/>
      <c r="O194" s="265"/>
      <c r="P194" s="268"/>
    </row>
    <row r="195" spans="1:16">
      <c r="A195" s="656">
        <v>186</v>
      </c>
      <c r="B195" s="842"/>
      <c r="C195" s="795"/>
      <c r="D195" s="795"/>
      <c r="E195" s="795"/>
      <c r="F195" s="823"/>
      <c r="G195" s="823"/>
      <c r="H195" s="845"/>
      <c r="I195" s="845"/>
      <c r="J195" s="795"/>
      <c r="K195" s="795"/>
      <c r="L195" s="265"/>
      <c r="M195" s="265"/>
      <c r="N195" s="265"/>
      <c r="O195" s="265"/>
      <c r="P195" s="266"/>
    </row>
    <row r="196" spans="1:16">
      <c r="A196" s="656">
        <v>187</v>
      </c>
      <c r="B196" s="848" t="s">
        <v>147</v>
      </c>
      <c r="C196" s="849"/>
      <c r="D196" s="795"/>
      <c r="E196" s="795"/>
      <c r="F196" s="265"/>
      <c r="G196" s="265"/>
      <c r="H196" s="845"/>
      <c r="I196" s="845"/>
      <c r="J196" s="795"/>
      <c r="K196" s="795"/>
      <c r="L196" s="119" t="s">
        <v>144</v>
      </c>
      <c r="M196" s="119"/>
      <c r="N196" s="265"/>
      <c r="O196" s="265"/>
      <c r="P196" s="266"/>
    </row>
    <row r="197" spans="1:16">
      <c r="A197" s="656">
        <v>188</v>
      </c>
      <c r="B197" s="842" t="s">
        <v>105</v>
      </c>
      <c r="C197" s="795"/>
      <c r="D197" s="795" t="str">
        <f>+D150</f>
        <v>Year 2021</v>
      </c>
      <c r="E197" s="795"/>
      <c r="F197" s="850">
        <f>-P193</f>
        <v>0</v>
      </c>
      <c r="G197" s="823"/>
      <c r="H197" s="844"/>
      <c r="I197" s="845"/>
      <c r="J197" s="795"/>
      <c r="K197" s="795"/>
      <c r="L197" s="265">
        <f t="shared" ref="L197:L208" si="32" xml:space="preserve"> -H197*F197</f>
        <v>0</v>
      </c>
      <c r="M197" s="265"/>
      <c r="N197" s="265">
        <f>-PMT(H197,12,P193)</f>
        <v>0</v>
      </c>
      <c r="O197" s="265"/>
      <c r="P197" s="266">
        <f t="shared" ref="P197:P208" si="33">(+F197+F197*H197+N197)*-1</f>
        <v>0</v>
      </c>
    </row>
    <row r="198" spans="1:16">
      <c r="A198" s="656">
        <v>189</v>
      </c>
      <c r="B198" s="842" t="s">
        <v>104</v>
      </c>
      <c r="C198" s="795"/>
      <c r="D198" s="795" t="str">
        <f>+D197</f>
        <v>Year 2021</v>
      </c>
      <c r="E198" s="795"/>
      <c r="F198" s="823">
        <f t="shared" ref="F198:F208" si="34">-P197</f>
        <v>0</v>
      </c>
      <c r="G198" s="823"/>
      <c r="H198" s="844"/>
      <c r="I198" s="845"/>
      <c r="J198" s="795"/>
      <c r="K198" s="795"/>
      <c r="L198" s="265">
        <f t="shared" si="32"/>
        <v>0</v>
      </c>
      <c r="M198" s="265"/>
      <c r="N198" s="265">
        <f t="shared" ref="N198:N208" si="35">N197</f>
        <v>0</v>
      </c>
      <c r="O198" s="265"/>
      <c r="P198" s="266">
        <f t="shared" si="33"/>
        <v>0</v>
      </c>
    </row>
    <row r="199" spans="1:16">
      <c r="A199" s="656">
        <v>190</v>
      </c>
      <c r="B199" s="842" t="s">
        <v>103</v>
      </c>
      <c r="C199" s="795"/>
      <c r="D199" s="795" t="str">
        <f>+D198</f>
        <v>Year 2021</v>
      </c>
      <c r="E199" s="795"/>
      <c r="F199" s="823">
        <f t="shared" si="34"/>
        <v>0</v>
      </c>
      <c r="G199" s="823"/>
      <c r="H199" s="844"/>
      <c r="I199" s="845"/>
      <c r="J199" s="795"/>
      <c r="K199" s="795"/>
      <c r="L199" s="265">
        <f t="shared" si="32"/>
        <v>0</v>
      </c>
      <c r="M199" s="265"/>
      <c r="N199" s="265">
        <f t="shared" si="35"/>
        <v>0</v>
      </c>
      <c r="O199" s="265"/>
      <c r="P199" s="266">
        <f t="shared" si="33"/>
        <v>0</v>
      </c>
    </row>
    <row r="200" spans="1:16">
      <c r="A200" s="656">
        <v>191</v>
      </c>
      <c r="B200" s="842" t="s">
        <v>95</v>
      </c>
      <c r="C200" s="795"/>
      <c r="D200" s="795" t="str">
        <f>+D199</f>
        <v>Year 2021</v>
      </c>
      <c r="E200" s="795"/>
      <c r="F200" s="823">
        <f t="shared" si="34"/>
        <v>0</v>
      </c>
      <c r="G200" s="823"/>
      <c r="H200" s="844"/>
      <c r="I200" s="845"/>
      <c r="J200" s="795"/>
      <c r="K200" s="795"/>
      <c r="L200" s="265">
        <f t="shared" si="32"/>
        <v>0</v>
      </c>
      <c r="M200" s="265"/>
      <c r="N200" s="265">
        <f t="shared" si="35"/>
        <v>0</v>
      </c>
      <c r="O200" s="265"/>
      <c r="P200" s="266">
        <f t="shared" si="33"/>
        <v>0</v>
      </c>
    </row>
    <row r="201" spans="1:16">
      <c r="A201" s="656">
        <v>192</v>
      </c>
      <c r="B201" s="842" t="s">
        <v>92</v>
      </c>
      <c r="C201" s="795"/>
      <c r="D201" s="795" t="str">
        <f>+D200</f>
        <v>Year 2021</v>
      </c>
      <c r="E201" s="795"/>
      <c r="F201" s="823">
        <f t="shared" si="34"/>
        <v>0</v>
      </c>
      <c r="G201" s="823"/>
      <c r="H201" s="844"/>
      <c r="I201" s="845"/>
      <c r="J201" s="795"/>
      <c r="K201" s="795"/>
      <c r="L201" s="265">
        <f t="shared" si="32"/>
        <v>0</v>
      </c>
      <c r="M201" s="265"/>
      <c r="N201" s="265">
        <f t="shared" si="35"/>
        <v>0</v>
      </c>
      <c r="O201" s="265"/>
      <c r="P201" s="266">
        <f t="shared" si="33"/>
        <v>0</v>
      </c>
    </row>
    <row r="202" spans="1:16">
      <c r="A202" s="656">
        <v>193</v>
      </c>
      <c r="B202" s="842" t="s">
        <v>145</v>
      </c>
      <c r="C202" s="795"/>
      <c r="D202" s="795" t="str">
        <f>D201</f>
        <v>Year 2021</v>
      </c>
      <c r="E202" s="795"/>
      <c r="F202" s="823">
        <f t="shared" si="34"/>
        <v>0</v>
      </c>
      <c r="G202" s="823"/>
      <c r="H202" s="844"/>
      <c r="I202" s="845"/>
      <c r="J202" s="795"/>
      <c r="K202" s="795"/>
      <c r="L202" s="265">
        <f t="shared" si="32"/>
        <v>0</v>
      </c>
      <c r="M202" s="265"/>
      <c r="N202" s="265">
        <f t="shared" si="35"/>
        <v>0</v>
      </c>
      <c r="O202" s="265"/>
      <c r="P202" s="266">
        <f t="shared" si="33"/>
        <v>0</v>
      </c>
    </row>
    <row r="203" spans="1:16">
      <c r="A203" s="656">
        <v>194</v>
      </c>
      <c r="B203" s="842" t="s">
        <v>102</v>
      </c>
      <c r="C203" s="795"/>
      <c r="D203" s="795" t="str">
        <f t="shared" ref="D203:D208" si="36">+D202</f>
        <v>Year 2021</v>
      </c>
      <c r="E203" s="795"/>
      <c r="F203" s="823">
        <f t="shared" si="34"/>
        <v>0</v>
      </c>
      <c r="G203" s="823"/>
      <c r="H203" s="844"/>
      <c r="I203" s="845"/>
      <c r="J203" s="795"/>
      <c r="K203" s="795"/>
      <c r="L203" s="265">
        <f t="shared" si="32"/>
        <v>0</v>
      </c>
      <c r="M203" s="265"/>
      <c r="N203" s="265">
        <f t="shared" si="35"/>
        <v>0</v>
      </c>
      <c r="O203" s="265"/>
      <c r="P203" s="266">
        <f t="shared" si="33"/>
        <v>0</v>
      </c>
    </row>
    <row r="204" spans="1:16">
      <c r="A204" s="656">
        <v>195</v>
      </c>
      <c r="B204" s="842" t="s">
        <v>101</v>
      </c>
      <c r="C204" s="795"/>
      <c r="D204" s="795" t="str">
        <f t="shared" si="36"/>
        <v>Year 2021</v>
      </c>
      <c r="E204" s="795"/>
      <c r="F204" s="823">
        <f t="shared" si="34"/>
        <v>0</v>
      </c>
      <c r="G204" s="823"/>
      <c r="H204" s="844"/>
      <c r="I204" s="845"/>
      <c r="J204" s="795"/>
      <c r="K204" s="795"/>
      <c r="L204" s="265">
        <f t="shared" si="32"/>
        <v>0</v>
      </c>
      <c r="M204" s="265"/>
      <c r="N204" s="265">
        <f t="shared" si="35"/>
        <v>0</v>
      </c>
      <c r="O204" s="265"/>
      <c r="P204" s="266">
        <f t="shared" si="33"/>
        <v>0</v>
      </c>
    </row>
    <row r="205" spans="1:16">
      <c r="A205" s="656">
        <v>196</v>
      </c>
      <c r="B205" s="842" t="s">
        <v>100</v>
      </c>
      <c r="C205" s="795"/>
      <c r="D205" s="795" t="str">
        <f t="shared" si="36"/>
        <v>Year 2021</v>
      </c>
      <c r="E205" s="795"/>
      <c r="F205" s="823">
        <f t="shared" si="34"/>
        <v>0</v>
      </c>
      <c r="G205" s="823"/>
      <c r="H205" s="844"/>
      <c r="I205" s="845"/>
      <c r="J205" s="795"/>
      <c r="K205" s="795"/>
      <c r="L205" s="265">
        <f t="shared" si="32"/>
        <v>0</v>
      </c>
      <c r="M205" s="265"/>
      <c r="N205" s="265">
        <f t="shared" si="35"/>
        <v>0</v>
      </c>
      <c r="O205" s="265"/>
      <c r="P205" s="266">
        <f t="shared" si="33"/>
        <v>0</v>
      </c>
    </row>
    <row r="206" spans="1:16">
      <c r="A206" s="656">
        <v>197</v>
      </c>
      <c r="B206" s="842" t="s">
        <v>106</v>
      </c>
      <c r="C206" s="795"/>
      <c r="D206" s="795" t="str">
        <f t="shared" si="36"/>
        <v>Year 2021</v>
      </c>
      <c r="E206" s="795"/>
      <c r="F206" s="823">
        <f t="shared" si="34"/>
        <v>0</v>
      </c>
      <c r="G206" s="823"/>
      <c r="H206" s="844"/>
      <c r="I206" s="845"/>
      <c r="J206" s="795"/>
      <c r="K206" s="795"/>
      <c r="L206" s="265">
        <f t="shared" si="32"/>
        <v>0</v>
      </c>
      <c r="M206" s="265"/>
      <c r="N206" s="265">
        <f t="shared" si="35"/>
        <v>0</v>
      </c>
      <c r="O206" s="265"/>
      <c r="P206" s="266">
        <f t="shared" si="33"/>
        <v>0</v>
      </c>
    </row>
    <row r="207" spans="1:16">
      <c r="A207" s="656">
        <v>198</v>
      </c>
      <c r="B207" s="842" t="s">
        <v>99</v>
      </c>
      <c r="C207" s="795"/>
      <c r="D207" s="795" t="str">
        <f t="shared" si="36"/>
        <v>Year 2021</v>
      </c>
      <c r="E207" s="795"/>
      <c r="F207" s="823">
        <f t="shared" si="34"/>
        <v>0</v>
      </c>
      <c r="G207" s="823"/>
      <c r="H207" s="844"/>
      <c r="I207" s="845"/>
      <c r="J207" s="795"/>
      <c r="K207" s="795"/>
      <c r="L207" s="265">
        <f t="shared" si="32"/>
        <v>0</v>
      </c>
      <c r="M207" s="265"/>
      <c r="N207" s="265">
        <f t="shared" si="35"/>
        <v>0</v>
      </c>
      <c r="O207" s="265"/>
      <c r="P207" s="266">
        <f t="shared" si="33"/>
        <v>0</v>
      </c>
    </row>
    <row r="208" spans="1:16">
      <c r="A208" s="656">
        <v>199</v>
      </c>
      <c r="B208" s="842" t="s">
        <v>98</v>
      </c>
      <c r="C208" s="795"/>
      <c r="D208" s="795" t="str">
        <f t="shared" si="36"/>
        <v>Year 2021</v>
      </c>
      <c r="E208" s="795"/>
      <c r="F208" s="823">
        <f t="shared" si="34"/>
        <v>0</v>
      </c>
      <c r="G208" s="823"/>
      <c r="H208" s="844"/>
      <c r="I208" s="845"/>
      <c r="J208" s="795"/>
      <c r="K208" s="795"/>
      <c r="L208" s="267">
        <f t="shared" si="32"/>
        <v>0</v>
      </c>
      <c r="M208" s="265"/>
      <c r="N208" s="265">
        <f t="shared" si="35"/>
        <v>0</v>
      </c>
      <c r="O208" s="265"/>
      <c r="P208" s="266">
        <f t="shared" si="33"/>
        <v>0</v>
      </c>
    </row>
    <row r="209" spans="1:16">
      <c r="A209" s="656">
        <v>200</v>
      </c>
      <c r="B209" s="842"/>
      <c r="C209" s="795"/>
      <c r="D209" s="795"/>
      <c r="E209" s="795"/>
      <c r="F209" s="823"/>
      <c r="G209" s="823"/>
      <c r="H209" s="845"/>
      <c r="I209" s="845"/>
      <c r="J209" s="795"/>
      <c r="K209" s="795"/>
      <c r="L209" s="265">
        <f>SUM(L197:L208)</f>
        <v>0</v>
      </c>
      <c r="M209" s="265"/>
      <c r="N209" s="265"/>
      <c r="O209" s="265"/>
      <c r="P209" s="266"/>
    </row>
    <row r="210" spans="1:16">
      <c r="A210" s="656">
        <v>201</v>
      </c>
      <c r="B210" s="634"/>
      <c r="P210" s="627"/>
    </row>
    <row r="211" spans="1:16">
      <c r="A211" s="656">
        <v>202</v>
      </c>
      <c r="B211" s="842" t="s">
        <v>907</v>
      </c>
      <c r="C211" s="795"/>
      <c r="F211" s="15" t="s">
        <v>1132</v>
      </c>
      <c r="N211" s="269">
        <f>SUM(N197:N208)</f>
        <v>0</v>
      </c>
      <c r="P211" s="627"/>
    </row>
    <row r="212" spans="1:16">
      <c r="A212" s="656">
        <v>203</v>
      </c>
      <c r="B212" s="842" t="s">
        <v>148</v>
      </c>
      <c r="C212" s="795"/>
      <c r="F212" s="15" t="s">
        <v>957</v>
      </c>
      <c r="N212" s="269">
        <f>L13</f>
        <v>0</v>
      </c>
      <c r="P212" s="627"/>
    </row>
    <row r="213" spans="1:16">
      <c r="A213" s="656">
        <v>204</v>
      </c>
      <c r="B213" s="851" t="s">
        <v>149</v>
      </c>
      <c r="C213" s="852"/>
      <c r="D213" s="270"/>
      <c r="E213" s="270"/>
      <c r="F213" s="270" t="s">
        <v>958</v>
      </c>
      <c r="G213" s="270"/>
      <c r="H213" s="270"/>
      <c r="I213" s="270"/>
      <c r="J213" s="270"/>
      <c r="K213" s="270"/>
      <c r="L213" s="270"/>
      <c r="M213" s="270"/>
      <c r="N213" s="271">
        <f>(N211+N212)</f>
        <v>0</v>
      </c>
      <c r="O213" s="270"/>
      <c r="P213" s="630"/>
    </row>
    <row r="214" spans="1:16">
      <c r="A214" s="656">
        <v>205</v>
      </c>
    </row>
    <row r="215" spans="1:16">
      <c r="A215" s="656">
        <v>206</v>
      </c>
    </row>
    <row r="216" spans="1:16">
      <c r="A216" s="656">
        <v>207</v>
      </c>
      <c r="B216" s="832" t="s">
        <v>547</v>
      </c>
      <c r="C216" s="833"/>
      <c r="D216" s="834"/>
      <c r="E216" s="834"/>
      <c r="F216" s="834"/>
      <c r="G216" s="834"/>
      <c r="H216" s="835"/>
      <c r="I216" s="835"/>
      <c r="J216" s="835"/>
      <c r="K216" s="835"/>
      <c r="L216" s="836"/>
      <c r="M216" s="836"/>
      <c r="N216" s="834"/>
      <c r="O216" s="834"/>
      <c r="P216" s="837"/>
    </row>
    <row r="217" spans="1:16">
      <c r="A217" s="656">
        <v>208</v>
      </c>
      <c r="B217" s="838"/>
      <c r="C217" s="839"/>
      <c r="D217" s="796"/>
      <c r="E217" s="796"/>
      <c r="F217" s="796"/>
      <c r="G217" s="796"/>
      <c r="H217" s="795"/>
      <c r="I217" s="795"/>
      <c r="J217" s="795"/>
      <c r="K217" s="795"/>
      <c r="L217" s="797" t="s">
        <v>144</v>
      </c>
      <c r="M217" s="797"/>
      <c r="N217" s="796"/>
      <c r="O217" s="796"/>
      <c r="P217" s="840"/>
    </row>
    <row r="218" spans="1:16">
      <c r="A218" s="656">
        <v>209</v>
      </c>
      <c r="B218" s="841"/>
      <c r="C218" s="839"/>
      <c r="D218" s="796"/>
      <c r="E218" s="796"/>
      <c r="F218" s="796"/>
      <c r="G218" s="796"/>
      <c r="H218" s="795"/>
      <c r="I218" s="795"/>
      <c r="J218" s="795"/>
      <c r="K218" s="795"/>
      <c r="L218" s="797"/>
      <c r="M218" s="797"/>
      <c r="N218" s="796"/>
      <c r="O218" s="796"/>
      <c r="P218" s="840"/>
    </row>
    <row r="219" spans="1:16">
      <c r="A219" s="656">
        <v>210</v>
      </c>
      <c r="B219" s="842" t="s">
        <v>105</v>
      </c>
      <c r="C219" s="795"/>
      <c r="D219" s="795" t="str">
        <f>+D192</f>
        <v>Year 2019</v>
      </c>
      <c r="E219" s="795"/>
      <c r="F219" s="843"/>
      <c r="G219" s="265"/>
      <c r="H219" s="844"/>
      <c r="I219" s="845"/>
      <c r="J219" s="846">
        <v>12</v>
      </c>
      <c r="K219" s="795"/>
      <c r="L219" s="265">
        <f t="shared" ref="L219:L230" si="37">H219*F219*J219*-1</f>
        <v>0</v>
      </c>
      <c r="M219" s="265"/>
      <c r="N219" s="265"/>
      <c r="O219" s="265"/>
      <c r="P219" s="266">
        <f t="shared" ref="P219:P230" si="38">(-L219+F219)*-1</f>
        <v>0</v>
      </c>
    </row>
    <row r="220" spans="1:16">
      <c r="A220" s="656">
        <v>211</v>
      </c>
      <c r="B220" s="842" t="s">
        <v>104</v>
      </c>
      <c r="C220" s="795"/>
      <c r="D220" s="795" t="str">
        <f t="shared" ref="D220:D230" si="39">D219</f>
        <v>Year 2019</v>
      </c>
      <c r="E220" s="795"/>
      <c r="F220" s="843"/>
      <c r="G220" s="265"/>
      <c r="H220" s="844"/>
      <c r="I220" s="845"/>
      <c r="J220" s="847">
        <f t="shared" ref="J220:J230" si="40">+J219-1</f>
        <v>11</v>
      </c>
      <c r="L220" s="265">
        <f t="shared" si="37"/>
        <v>0</v>
      </c>
      <c r="M220" s="265"/>
      <c r="N220" s="265"/>
      <c r="O220" s="265"/>
      <c r="P220" s="266">
        <f t="shared" si="38"/>
        <v>0</v>
      </c>
    </row>
    <row r="221" spans="1:16">
      <c r="A221" s="656">
        <v>212</v>
      </c>
      <c r="B221" s="842" t="s">
        <v>103</v>
      </c>
      <c r="C221" s="795"/>
      <c r="D221" s="795" t="str">
        <f t="shared" si="39"/>
        <v>Year 2019</v>
      </c>
      <c r="E221" s="795"/>
      <c r="F221" s="843"/>
      <c r="G221" s="265"/>
      <c r="H221" s="844"/>
      <c r="I221" s="845"/>
      <c r="J221" s="847">
        <f t="shared" si="40"/>
        <v>10</v>
      </c>
      <c r="L221" s="265">
        <f t="shared" si="37"/>
        <v>0</v>
      </c>
      <c r="M221" s="265"/>
      <c r="N221" s="265"/>
      <c r="O221" s="265"/>
      <c r="P221" s="266">
        <f t="shared" si="38"/>
        <v>0</v>
      </c>
    </row>
    <row r="222" spans="1:16">
      <c r="A222" s="656">
        <v>213</v>
      </c>
      <c r="B222" s="842" t="s">
        <v>95</v>
      </c>
      <c r="C222" s="795"/>
      <c r="D222" s="795" t="str">
        <f t="shared" si="39"/>
        <v>Year 2019</v>
      </c>
      <c r="E222" s="795"/>
      <c r="F222" s="843"/>
      <c r="G222" s="265"/>
      <c r="H222" s="844"/>
      <c r="I222" s="845"/>
      <c r="J222" s="847">
        <f t="shared" si="40"/>
        <v>9</v>
      </c>
      <c r="L222" s="265">
        <f t="shared" si="37"/>
        <v>0</v>
      </c>
      <c r="M222" s="265"/>
      <c r="N222" s="265"/>
      <c r="O222" s="265"/>
      <c r="P222" s="266">
        <f t="shared" si="38"/>
        <v>0</v>
      </c>
    </row>
    <row r="223" spans="1:16">
      <c r="A223" s="656">
        <v>214</v>
      </c>
      <c r="B223" s="842" t="s">
        <v>92</v>
      </c>
      <c r="C223" s="795"/>
      <c r="D223" s="795" t="str">
        <f t="shared" si="39"/>
        <v>Year 2019</v>
      </c>
      <c r="E223" s="795"/>
      <c r="F223" s="843"/>
      <c r="G223" s="265"/>
      <c r="H223" s="844"/>
      <c r="I223" s="845"/>
      <c r="J223" s="847">
        <f t="shared" si="40"/>
        <v>8</v>
      </c>
      <c r="L223" s="265">
        <f t="shared" si="37"/>
        <v>0</v>
      </c>
      <c r="M223" s="265"/>
      <c r="N223" s="265"/>
      <c r="O223" s="265"/>
      <c r="P223" s="266">
        <f t="shared" si="38"/>
        <v>0</v>
      </c>
    </row>
    <row r="224" spans="1:16">
      <c r="A224" s="656">
        <v>215</v>
      </c>
      <c r="B224" s="842" t="s">
        <v>145</v>
      </c>
      <c r="C224" s="795"/>
      <c r="D224" s="795" t="str">
        <f t="shared" si="39"/>
        <v>Year 2019</v>
      </c>
      <c r="E224" s="795"/>
      <c r="F224" s="843"/>
      <c r="G224" s="265"/>
      <c r="H224" s="844"/>
      <c r="I224" s="845"/>
      <c r="J224" s="847">
        <f t="shared" si="40"/>
        <v>7</v>
      </c>
      <c r="L224" s="265">
        <f t="shared" si="37"/>
        <v>0</v>
      </c>
      <c r="M224" s="265"/>
      <c r="N224" s="265"/>
      <c r="O224" s="265"/>
      <c r="P224" s="266">
        <f t="shared" si="38"/>
        <v>0</v>
      </c>
    </row>
    <row r="225" spans="1:16">
      <c r="A225" s="656">
        <v>216</v>
      </c>
      <c r="B225" s="842" t="s">
        <v>102</v>
      </c>
      <c r="C225" s="795"/>
      <c r="D225" s="795" t="str">
        <f t="shared" si="39"/>
        <v>Year 2019</v>
      </c>
      <c r="E225" s="795"/>
      <c r="F225" s="843"/>
      <c r="G225" s="265"/>
      <c r="H225" s="844"/>
      <c r="I225" s="845"/>
      <c r="J225" s="847">
        <f t="shared" si="40"/>
        <v>6</v>
      </c>
      <c r="L225" s="265">
        <f t="shared" si="37"/>
        <v>0</v>
      </c>
      <c r="M225" s="265"/>
      <c r="N225" s="265"/>
      <c r="O225" s="265"/>
      <c r="P225" s="266">
        <f t="shared" si="38"/>
        <v>0</v>
      </c>
    </row>
    <row r="226" spans="1:16">
      <c r="A226" s="656">
        <v>217</v>
      </c>
      <c r="B226" s="842" t="s">
        <v>101</v>
      </c>
      <c r="C226" s="795"/>
      <c r="D226" s="795" t="str">
        <f t="shared" si="39"/>
        <v>Year 2019</v>
      </c>
      <c r="E226" s="795"/>
      <c r="F226" s="843"/>
      <c r="G226" s="265"/>
      <c r="H226" s="844"/>
      <c r="I226" s="845"/>
      <c r="J226" s="847">
        <f t="shared" si="40"/>
        <v>5</v>
      </c>
      <c r="L226" s="265">
        <f t="shared" si="37"/>
        <v>0</v>
      </c>
      <c r="M226" s="265"/>
      <c r="N226" s="265"/>
      <c r="O226" s="265"/>
      <c r="P226" s="266">
        <f t="shared" si="38"/>
        <v>0</v>
      </c>
    </row>
    <row r="227" spans="1:16">
      <c r="A227" s="656">
        <v>218</v>
      </c>
      <c r="B227" s="842" t="s">
        <v>100</v>
      </c>
      <c r="C227" s="795"/>
      <c r="D227" s="795" t="str">
        <f t="shared" si="39"/>
        <v>Year 2019</v>
      </c>
      <c r="E227" s="795"/>
      <c r="F227" s="843"/>
      <c r="G227" s="265"/>
      <c r="H227" s="844"/>
      <c r="I227" s="845"/>
      <c r="J227" s="847">
        <f t="shared" si="40"/>
        <v>4</v>
      </c>
      <c r="L227" s="265">
        <f t="shared" si="37"/>
        <v>0</v>
      </c>
      <c r="M227" s="265"/>
      <c r="N227" s="265"/>
      <c r="O227" s="265"/>
      <c r="P227" s="266">
        <f t="shared" si="38"/>
        <v>0</v>
      </c>
    </row>
    <row r="228" spans="1:16">
      <c r="A228" s="656">
        <v>219</v>
      </c>
      <c r="B228" s="842" t="s">
        <v>106</v>
      </c>
      <c r="C228" s="795"/>
      <c r="D228" s="795" t="str">
        <f t="shared" si="39"/>
        <v>Year 2019</v>
      </c>
      <c r="E228" s="795"/>
      <c r="F228" s="843"/>
      <c r="G228" s="265"/>
      <c r="H228" s="844"/>
      <c r="I228" s="845"/>
      <c r="J228" s="847">
        <f t="shared" si="40"/>
        <v>3</v>
      </c>
      <c r="L228" s="265">
        <f t="shared" si="37"/>
        <v>0</v>
      </c>
      <c r="M228" s="265"/>
      <c r="N228" s="265"/>
      <c r="O228" s="265"/>
      <c r="P228" s="266">
        <f t="shared" si="38"/>
        <v>0</v>
      </c>
    </row>
    <row r="229" spans="1:16">
      <c r="A229" s="656">
        <v>220</v>
      </c>
      <c r="B229" s="842" t="s">
        <v>99</v>
      </c>
      <c r="C229" s="795"/>
      <c r="D229" s="795" t="str">
        <f t="shared" si="39"/>
        <v>Year 2019</v>
      </c>
      <c r="E229" s="795"/>
      <c r="F229" s="843"/>
      <c r="G229" s="265"/>
      <c r="H229" s="844"/>
      <c r="I229" s="845"/>
      <c r="J229" s="847">
        <f t="shared" si="40"/>
        <v>2</v>
      </c>
      <c r="L229" s="265">
        <f t="shared" si="37"/>
        <v>0</v>
      </c>
      <c r="M229" s="265"/>
      <c r="N229" s="265"/>
      <c r="O229" s="265"/>
      <c r="P229" s="266">
        <f t="shared" si="38"/>
        <v>0</v>
      </c>
    </row>
    <row r="230" spans="1:16">
      <c r="A230" s="656">
        <v>221</v>
      </c>
      <c r="B230" s="842" t="s">
        <v>98</v>
      </c>
      <c r="C230" s="795"/>
      <c r="D230" s="795" t="str">
        <f t="shared" si="39"/>
        <v>Year 2019</v>
      </c>
      <c r="E230" s="795"/>
      <c r="F230" s="843"/>
      <c r="G230" s="265"/>
      <c r="H230" s="844"/>
      <c r="I230" s="845"/>
      <c r="J230" s="847">
        <f t="shared" si="40"/>
        <v>1</v>
      </c>
      <c r="L230" s="267">
        <f t="shared" si="37"/>
        <v>0</v>
      </c>
      <c r="M230" s="265"/>
      <c r="N230" s="265"/>
      <c r="O230" s="265"/>
      <c r="P230" s="266">
        <f t="shared" si="38"/>
        <v>0</v>
      </c>
    </row>
    <row r="231" spans="1:16">
      <c r="A231" s="656">
        <v>222</v>
      </c>
      <c r="B231" s="842"/>
      <c r="C231" s="795"/>
      <c r="D231" s="795"/>
      <c r="E231" s="795"/>
      <c r="F231" s="265"/>
      <c r="G231" s="265"/>
      <c r="H231" s="845"/>
      <c r="I231" s="845"/>
      <c r="L231" s="265">
        <f>SUM(L219:L230)</f>
        <v>0</v>
      </c>
      <c r="M231" s="265"/>
      <c r="N231" s="265"/>
      <c r="O231" s="265"/>
      <c r="P231" s="268">
        <f>SUM(P219:P230)</f>
        <v>0</v>
      </c>
    </row>
    <row r="232" spans="1:16">
      <c r="A232" s="656">
        <v>223</v>
      </c>
      <c r="B232" s="842"/>
      <c r="C232" s="795"/>
      <c r="D232" s="795"/>
      <c r="E232" s="795"/>
      <c r="F232" s="265"/>
      <c r="G232" s="265"/>
      <c r="H232" s="845"/>
      <c r="I232" s="845"/>
      <c r="L232" s="265"/>
      <c r="M232" s="265"/>
      <c r="N232" s="265"/>
      <c r="O232" s="265"/>
      <c r="P232" s="268"/>
    </row>
    <row r="233" spans="1:16">
      <c r="A233" s="656">
        <v>224</v>
      </c>
      <c r="B233" s="842"/>
      <c r="C233" s="795"/>
      <c r="D233" s="795"/>
      <c r="E233" s="795"/>
      <c r="F233" s="265"/>
      <c r="G233" s="265"/>
      <c r="H233" s="845"/>
      <c r="I233" s="845"/>
      <c r="L233" s="119" t="s">
        <v>1128</v>
      </c>
      <c r="M233" s="265"/>
      <c r="N233" s="265"/>
      <c r="O233" s="265"/>
      <c r="P233" s="268"/>
    </row>
    <row r="234" spans="1:16">
      <c r="A234" s="656">
        <v>225</v>
      </c>
      <c r="B234" s="842"/>
      <c r="C234" s="795"/>
      <c r="D234" s="795"/>
      <c r="E234" s="795"/>
      <c r="F234" s="265"/>
      <c r="G234" s="265"/>
      <c r="H234" s="845"/>
      <c r="I234" s="845"/>
      <c r="L234" s="119"/>
      <c r="M234" s="265"/>
      <c r="N234" s="265"/>
      <c r="O234" s="265"/>
      <c r="P234" s="268"/>
    </row>
    <row r="235" spans="1:16">
      <c r="A235" s="656">
        <v>226</v>
      </c>
      <c r="B235" s="842" t="s">
        <v>146</v>
      </c>
      <c r="C235" s="795"/>
      <c r="D235" s="795" t="str">
        <f>+D193</f>
        <v>Year 2020</v>
      </c>
      <c r="E235" s="795"/>
      <c r="F235" s="823">
        <f>P231</f>
        <v>0</v>
      </c>
      <c r="G235" s="823"/>
      <c r="H235" s="844"/>
      <c r="I235" s="845"/>
      <c r="J235" s="846">
        <v>12</v>
      </c>
      <c r="K235" s="795"/>
      <c r="L235" s="265">
        <f>+J235*H235*F235</f>
        <v>0</v>
      </c>
      <c r="M235" s="265"/>
      <c r="N235" s="265"/>
      <c r="O235" s="265"/>
      <c r="P235" s="268">
        <f>+F235+L235</f>
        <v>0</v>
      </c>
    </row>
    <row r="236" spans="1:16">
      <c r="A236" s="656">
        <v>227</v>
      </c>
      <c r="B236" s="842"/>
      <c r="C236" s="795"/>
      <c r="D236" s="795"/>
      <c r="E236" s="795"/>
      <c r="F236" s="823"/>
      <c r="G236" s="823"/>
      <c r="H236" s="845"/>
      <c r="I236" s="845"/>
      <c r="J236" s="795"/>
      <c r="K236" s="795"/>
      <c r="L236" s="265"/>
      <c r="M236" s="265"/>
      <c r="N236" s="265"/>
      <c r="O236" s="265"/>
      <c r="P236" s="268"/>
    </row>
    <row r="237" spans="1:16">
      <c r="A237" s="656">
        <v>228</v>
      </c>
      <c r="B237" s="842"/>
      <c r="C237" s="795"/>
      <c r="D237" s="795"/>
      <c r="E237" s="795"/>
      <c r="F237" s="823"/>
      <c r="G237" s="823"/>
      <c r="H237" s="845"/>
      <c r="I237" s="845"/>
      <c r="J237" s="795"/>
      <c r="K237" s="795"/>
      <c r="L237" s="265"/>
      <c r="M237" s="265"/>
      <c r="N237" s="265"/>
      <c r="O237" s="265"/>
      <c r="P237" s="266"/>
    </row>
    <row r="238" spans="1:16">
      <c r="A238" s="656">
        <v>229</v>
      </c>
      <c r="B238" s="848" t="s">
        <v>147</v>
      </c>
      <c r="C238" s="849"/>
      <c r="D238" s="795"/>
      <c r="E238" s="795"/>
      <c r="F238" s="265"/>
      <c r="G238" s="265"/>
      <c r="H238" s="845"/>
      <c r="I238" s="845"/>
      <c r="J238" s="795"/>
      <c r="K238" s="795"/>
      <c r="L238" s="119" t="s">
        <v>144</v>
      </c>
      <c r="M238" s="119"/>
      <c r="N238" s="265"/>
      <c r="O238" s="265"/>
      <c r="P238" s="266"/>
    </row>
    <row r="239" spans="1:16">
      <c r="A239" s="656">
        <v>230</v>
      </c>
      <c r="B239" s="842" t="s">
        <v>105</v>
      </c>
      <c r="C239" s="795"/>
      <c r="D239" s="795" t="str">
        <f>+D197</f>
        <v>Year 2021</v>
      </c>
      <c r="E239" s="795"/>
      <c r="F239" s="850">
        <f>-P235</f>
        <v>0</v>
      </c>
      <c r="G239" s="823"/>
      <c r="H239" s="844"/>
      <c r="I239" s="845"/>
      <c r="J239" s="795"/>
      <c r="K239" s="795"/>
      <c r="L239" s="265">
        <f t="shared" ref="L239:L250" si="41" xml:space="preserve"> -H239*F239</f>
        <v>0</v>
      </c>
      <c r="M239" s="265"/>
      <c r="N239" s="265">
        <f>-PMT(H239,12,P235)</f>
        <v>0</v>
      </c>
      <c r="O239" s="265"/>
      <c r="P239" s="266">
        <f t="shared" ref="P239:P250" si="42">(+F239+F239*H239+N239)*-1</f>
        <v>0</v>
      </c>
    </row>
    <row r="240" spans="1:16">
      <c r="A240" s="656">
        <v>231</v>
      </c>
      <c r="B240" s="842" t="s">
        <v>104</v>
      </c>
      <c r="C240" s="795"/>
      <c r="D240" s="795" t="str">
        <f>+D239</f>
        <v>Year 2021</v>
      </c>
      <c r="E240" s="795"/>
      <c r="F240" s="823">
        <f t="shared" ref="F240:F250" si="43">-P239</f>
        <v>0</v>
      </c>
      <c r="G240" s="823"/>
      <c r="H240" s="844"/>
      <c r="I240" s="845"/>
      <c r="J240" s="795"/>
      <c r="K240" s="795"/>
      <c r="L240" s="265">
        <f t="shared" si="41"/>
        <v>0</v>
      </c>
      <c r="M240" s="265"/>
      <c r="N240" s="265">
        <f t="shared" ref="N240:N250" si="44">N239</f>
        <v>0</v>
      </c>
      <c r="O240" s="265"/>
      <c r="P240" s="266">
        <f t="shared" si="42"/>
        <v>0</v>
      </c>
    </row>
    <row r="241" spans="1:16">
      <c r="A241" s="656">
        <v>232</v>
      </c>
      <c r="B241" s="842" t="s">
        <v>103</v>
      </c>
      <c r="C241" s="795"/>
      <c r="D241" s="795" t="str">
        <f>+D240</f>
        <v>Year 2021</v>
      </c>
      <c r="E241" s="795"/>
      <c r="F241" s="823">
        <f t="shared" si="43"/>
        <v>0</v>
      </c>
      <c r="G241" s="823"/>
      <c r="H241" s="844"/>
      <c r="I241" s="845"/>
      <c r="J241" s="795"/>
      <c r="K241" s="795"/>
      <c r="L241" s="265">
        <f t="shared" si="41"/>
        <v>0</v>
      </c>
      <c r="M241" s="265"/>
      <c r="N241" s="265">
        <f t="shared" si="44"/>
        <v>0</v>
      </c>
      <c r="O241" s="265"/>
      <c r="P241" s="266">
        <f t="shared" si="42"/>
        <v>0</v>
      </c>
    </row>
    <row r="242" spans="1:16">
      <c r="A242" s="656">
        <v>233</v>
      </c>
      <c r="B242" s="842" t="s">
        <v>95</v>
      </c>
      <c r="C242" s="795"/>
      <c r="D242" s="795" t="str">
        <f>+D241</f>
        <v>Year 2021</v>
      </c>
      <c r="E242" s="795"/>
      <c r="F242" s="823">
        <f t="shared" si="43"/>
        <v>0</v>
      </c>
      <c r="G242" s="823"/>
      <c r="H242" s="844"/>
      <c r="I242" s="845"/>
      <c r="J242" s="795"/>
      <c r="K242" s="795"/>
      <c r="L242" s="265">
        <f t="shared" si="41"/>
        <v>0</v>
      </c>
      <c r="M242" s="265"/>
      <c r="N242" s="265">
        <f t="shared" si="44"/>
        <v>0</v>
      </c>
      <c r="O242" s="265"/>
      <c r="P242" s="266">
        <f t="shared" si="42"/>
        <v>0</v>
      </c>
    </row>
    <row r="243" spans="1:16">
      <c r="A243" s="656">
        <v>234</v>
      </c>
      <c r="B243" s="842" t="s">
        <v>92</v>
      </c>
      <c r="C243" s="795"/>
      <c r="D243" s="795" t="str">
        <f>+D242</f>
        <v>Year 2021</v>
      </c>
      <c r="E243" s="795"/>
      <c r="F243" s="823">
        <f t="shared" si="43"/>
        <v>0</v>
      </c>
      <c r="G243" s="823"/>
      <c r="H243" s="844"/>
      <c r="I243" s="845"/>
      <c r="J243" s="795"/>
      <c r="K243" s="795"/>
      <c r="L243" s="265">
        <f t="shared" si="41"/>
        <v>0</v>
      </c>
      <c r="M243" s="265"/>
      <c r="N243" s="265">
        <f t="shared" si="44"/>
        <v>0</v>
      </c>
      <c r="O243" s="265"/>
      <c r="P243" s="266">
        <f t="shared" si="42"/>
        <v>0</v>
      </c>
    </row>
    <row r="244" spans="1:16">
      <c r="A244" s="656">
        <v>235</v>
      </c>
      <c r="B244" s="842" t="s">
        <v>145</v>
      </c>
      <c r="C244" s="795"/>
      <c r="D244" s="795" t="str">
        <f>D243</f>
        <v>Year 2021</v>
      </c>
      <c r="E244" s="795"/>
      <c r="F244" s="823">
        <f t="shared" si="43"/>
        <v>0</v>
      </c>
      <c r="G244" s="823"/>
      <c r="H244" s="844"/>
      <c r="I244" s="845"/>
      <c r="J244" s="795"/>
      <c r="K244" s="795"/>
      <c r="L244" s="265">
        <f t="shared" si="41"/>
        <v>0</v>
      </c>
      <c r="M244" s="265"/>
      <c r="N244" s="265">
        <f t="shared" si="44"/>
        <v>0</v>
      </c>
      <c r="O244" s="265"/>
      <c r="P244" s="266">
        <f t="shared" si="42"/>
        <v>0</v>
      </c>
    </row>
    <row r="245" spans="1:16">
      <c r="A245" s="656">
        <v>236</v>
      </c>
      <c r="B245" s="842" t="s">
        <v>102</v>
      </c>
      <c r="C245" s="795"/>
      <c r="D245" s="795" t="str">
        <f t="shared" ref="D245:D250" si="45">+D244</f>
        <v>Year 2021</v>
      </c>
      <c r="E245" s="795"/>
      <c r="F245" s="823">
        <f t="shared" si="43"/>
        <v>0</v>
      </c>
      <c r="G245" s="823"/>
      <c r="H245" s="844"/>
      <c r="I245" s="845"/>
      <c r="J245" s="795"/>
      <c r="K245" s="795"/>
      <c r="L245" s="265">
        <f t="shared" si="41"/>
        <v>0</v>
      </c>
      <c r="M245" s="265"/>
      <c r="N245" s="265">
        <f t="shared" si="44"/>
        <v>0</v>
      </c>
      <c r="O245" s="265"/>
      <c r="P245" s="266">
        <f t="shared" si="42"/>
        <v>0</v>
      </c>
    </row>
    <row r="246" spans="1:16">
      <c r="A246" s="656">
        <v>237</v>
      </c>
      <c r="B246" s="842" t="s">
        <v>101</v>
      </c>
      <c r="C246" s="795"/>
      <c r="D246" s="795" t="str">
        <f t="shared" si="45"/>
        <v>Year 2021</v>
      </c>
      <c r="E246" s="795"/>
      <c r="F246" s="823">
        <f t="shared" si="43"/>
        <v>0</v>
      </c>
      <c r="G246" s="823"/>
      <c r="H246" s="844"/>
      <c r="I246" s="845"/>
      <c r="J246" s="795"/>
      <c r="K246" s="795"/>
      <c r="L246" s="265">
        <f t="shared" si="41"/>
        <v>0</v>
      </c>
      <c r="M246" s="265"/>
      <c r="N246" s="265">
        <f t="shared" si="44"/>
        <v>0</v>
      </c>
      <c r="O246" s="265"/>
      <c r="P246" s="266">
        <f t="shared" si="42"/>
        <v>0</v>
      </c>
    </row>
    <row r="247" spans="1:16">
      <c r="A247" s="656">
        <v>238</v>
      </c>
      <c r="B247" s="842" t="s">
        <v>100</v>
      </c>
      <c r="C247" s="795"/>
      <c r="D247" s="795" t="str">
        <f t="shared" si="45"/>
        <v>Year 2021</v>
      </c>
      <c r="E247" s="795"/>
      <c r="F247" s="823">
        <f t="shared" si="43"/>
        <v>0</v>
      </c>
      <c r="G247" s="823"/>
      <c r="H247" s="844"/>
      <c r="I247" s="845"/>
      <c r="J247" s="795"/>
      <c r="K247" s="795"/>
      <c r="L247" s="265">
        <f t="shared" si="41"/>
        <v>0</v>
      </c>
      <c r="M247" s="265"/>
      <c r="N247" s="265">
        <f t="shared" si="44"/>
        <v>0</v>
      </c>
      <c r="O247" s="265"/>
      <c r="P247" s="266">
        <f t="shared" si="42"/>
        <v>0</v>
      </c>
    </row>
    <row r="248" spans="1:16">
      <c r="A248" s="656">
        <v>239</v>
      </c>
      <c r="B248" s="842" t="s">
        <v>106</v>
      </c>
      <c r="C248" s="795"/>
      <c r="D248" s="795" t="str">
        <f t="shared" si="45"/>
        <v>Year 2021</v>
      </c>
      <c r="E248" s="795"/>
      <c r="F248" s="823">
        <f t="shared" si="43"/>
        <v>0</v>
      </c>
      <c r="G248" s="823"/>
      <c r="H248" s="844"/>
      <c r="I248" s="845"/>
      <c r="J248" s="795"/>
      <c r="K248" s="795"/>
      <c r="L248" s="265">
        <f t="shared" si="41"/>
        <v>0</v>
      </c>
      <c r="M248" s="265"/>
      <c r="N248" s="265">
        <f t="shared" si="44"/>
        <v>0</v>
      </c>
      <c r="O248" s="265"/>
      <c r="P248" s="266">
        <f t="shared" si="42"/>
        <v>0</v>
      </c>
    </row>
    <row r="249" spans="1:16">
      <c r="A249" s="656">
        <v>240</v>
      </c>
      <c r="B249" s="842" t="s">
        <v>99</v>
      </c>
      <c r="C249" s="795"/>
      <c r="D249" s="795" t="str">
        <f t="shared" si="45"/>
        <v>Year 2021</v>
      </c>
      <c r="E249" s="795"/>
      <c r="F249" s="823">
        <f t="shared" si="43"/>
        <v>0</v>
      </c>
      <c r="G249" s="823"/>
      <c r="H249" s="844"/>
      <c r="I249" s="845"/>
      <c r="J249" s="795"/>
      <c r="K249" s="795"/>
      <c r="L249" s="265">
        <f t="shared" si="41"/>
        <v>0</v>
      </c>
      <c r="M249" s="265"/>
      <c r="N249" s="265">
        <f t="shared" si="44"/>
        <v>0</v>
      </c>
      <c r="O249" s="265"/>
      <c r="P249" s="266">
        <f t="shared" si="42"/>
        <v>0</v>
      </c>
    </row>
    <row r="250" spans="1:16">
      <c r="A250" s="656">
        <v>241</v>
      </c>
      <c r="B250" s="842" t="s">
        <v>98</v>
      </c>
      <c r="C250" s="795"/>
      <c r="D250" s="795" t="str">
        <f t="shared" si="45"/>
        <v>Year 2021</v>
      </c>
      <c r="E250" s="795"/>
      <c r="F250" s="823">
        <f t="shared" si="43"/>
        <v>0</v>
      </c>
      <c r="G250" s="823"/>
      <c r="H250" s="844"/>
      <c r="I250" s="845"/>
      <c r="J250" s="795"/>
      <c r="K250" s="795"/>
      <c r="L250" s="267">
        <f t="shared" si="41"/>
        <v>0</v>
      </c>
      <c r="M250" s="265"/>
      <c r="N250" s="265">
        <f t="shared" si="44"/>
        <v>0</v>
      </c>
      <c r="O250" s="265"/>
      <c r="P250" s="266">
        <f t="shared" si="42"/>
        <v>0</v>
      </c>
    </row>
    <row r="251" spans="1:16">
      <c r="A251" s="656">
        <v>242</v>
      </c>
      <c r="B251" s="842"/>
      <c r="C251" s="795"/>
      <c r="D251" s="795"/>
      <c r="E251" s="795"/>
      <c r="F251" s="823"/>
      <c r="G251" s="823"/>
      <c r="H251" s="845"/>
      <c r="I251" s="845"/>
      <c r="J251" s="795"/>
      <c r="K251" s="795"/>
      <c r="L251" s="265">
        <f>SUM(L239:L250)</f>
        <v>0</v>
      </c>
      <c r="M251" s="265"/>
      <c r="N251" s="265"/>
      <c r="O251" s="265"/>
      <c r="P251" s="266"/>
    </row>
    <row r="252" spans="1:16">
      <c r="A252" s="656">
        <v>243</v>
      </c>
      <c r="B252" s="634"/>
      <c r="P252" s="627"/>
    </row>
    <row r="253" spans="1:16">
      <c r="A253" s="656">
        <v>244</v>
      </c>
      <c r="B253" s="842" t="s">
        <v>908</v>
      </c>
      <c r="C253" s="795"/>
      <c r="F253" s="15" t="s">
        <v>1133</v>
      </c>
      <c r="N253" s="269">
        <f>SUM(N239:N250)</f>
        <v>0</v>
      </c>
      <c r="P253" s="627"/>
    </row>
    <row r="254" spans="1:16">
      <c r="A254" s="656">
        <v>245</v>
      </c>
      <c r="B254" s="842" t="s">
        <v>148</v>
      </c>
      <c r="C254" s="795"/>
      <c r="F254" s="15" t="s">
        <v>959</v>
      </c>
      <c r="N254" s="269">
        <f>L14</f>
        <v>0</v>
      </c>
      <c r="P254" s="627"/>
    </row>
    <row r="255" spans="1:16">
      <c r="A255" s="656">
        <v>246</v>
      </c>
      <c r="B255" s="851" t="s">
        <v>149</v>
      </c>
      <c r="C255" s="852"/>
      <c r="D255" s="270"/>
      <c r="E255" s="270"/>
      <c r="F255" s="270" t="s">
        <v>960</v>
      </c>
      <c r="G255" s="270"/>
      <c r="H255" s="270"/>
      <c r="I255" s="270"/>
      <c r="J255" s="270"/>
      <c r="K255" s="270"/>
      <c r="L255" s="270"/>
      <c r="M255" s="270"/>
      <c r="N255" s="271">
        <f>(N253+N254)</f>
        <v>0</v>
      </c>
      <c r="O255" s="270"/>
      <c r="P255" s="630"/>
    </row>
  </sheetData>
  <mergeCells count="9">
    <mergeCell ref="B169:N169"/>
    <mergeCell ref="B170:N170"/>
    <mergeCell ref="B171:N171"/>
    <mergeCell ref="B4:N4"/>
    <mergeCell ref="B7:P7"/>
    <mergeCell ref="B25:P25"/>
    <mergeCell ref="B76:N76"/>
    <mergeCell ref="B77:N77"/>
    <mergeCell ref="B78:N78"/>
  </mergeCells>
  <printOptions horizontalCentered="1"/>
  <pageMargins left="0.25" right="0.25" top="0.75" bottom="0.75" header="0.3" footer="0.3"/>
  <pageSetup scale="43" fitToHeight="3" orientation="landscape" r:id="rId1"/>
  <rowBreaks count="2" manualBreakCount="2">
    <brk id="74" max="16383" man="1"/>
    <brk id="167" max="16383" man="1"/>
  </rowBreaks>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pageSetUpPr fitToPage="1"/>
  </sheetPr>
  <dimension ref="A1:D78"/>
  <sheetViews>
    <sheetView workbookViewId="0"/>
  </sheetViews>
  <sheetFormatPr defaultColWidth="8.84375" defaultRowHeight="13"/>
  <cols>
    <col min="1" max="1" width="15.53515625" style="240" bestFit="1" customWidth="1"/>
    <col min="2" max="2" width="33.84375" style="15" customWidth="1"/>
    <col min="3" max="3" width="19.765625" style="237" bestFit="1" customWidth="1"/>
    <col min="4" max="4" width="16.3046875" style="15" customWidth="1"/>
    <col min="5" max="16384" width="8.84375" style="15"/>
  </cols>
  <sheetData>
    <row r="1" spans="1:4" ht="15" customHeight="1">
      <c r="B1" s="20" t="s">
        <v>409</v>
      </c>
      <c r="C1" s="660" t="s">
        <v>891</v>
      </c>
      <c r="D1" s="19"/>
    </row>
    <row r="2" spans="1:4" ht="15" customHeight="1">
      <c r="B2" s="304" t="s">
        <v>410</v>
      </c>
      <c r="C2" s="240"/>
      <c r="D2" s="240"/>
    </row>
    <row r="3" spans="1:4" ht="15" customHeight="1">
      <c r="B3" s="657" t="str">
        <f>+'Attachment H'!D5</f>
        <v>Gridliance High Plains LLC</v>
      </c>
      <c r="C3" s="559"/>
      <c r="D3" s="559"/>
    </row>
    <row r="5" spans="1:4" ht="14.5">
      <c r="A5" s="377" t="s">
        <v>510</v>
      </c>
      <c r="B5" s="378" t="s">
        <v>511</v>
      </c>
      <c r="C5" s="378" t="s">
        <v>512</v>
      </c>
      <c r="D5" s="379"/>
    </row>
    <row r="6" spans="1:4" ht="14.5">
      <c r="A6" s="379"/>
      <c r="B6" s="379"/>
      <c r="C6" s="379"/>
      <c r="D6" s="379"/>
    </row>
    <row r="7" spans="1:4" ht="14.5">
      <c r="A7" s="377" t="s">
        <v>513</v>
      </c>
      <c r="B7" s="380"/>
      <c r="C7" s="381"/>
      <c r="D7" s="380"/>
    </row>
    <row r="8" spans="1:4" ht="14.5">
      <c r="A8" s="622">
        <v>350</v>
      </c>
      <c r="B8" s="380" t="s">
        <v>411</v>
      </c>
      <c r="C8" s="382" t="s">
        <v>522</v>
      </c>
      <c r="D8" s="380"/>
    </row>
    <row r="9" spans="1:4" ht="14.5">
      <c r="A9" s="622">
        <v>352</v>
      </c>
      <c r="B9" s="380" t="s">
        <v>514</v>
      </c>
      <c r="C9" s="382">
        <v>2.18E-2</v>
      </c>
      <c r="D9" s="380"/>
    </row>
    <row r="10" spans="1:4" ht="14.5">
      <c r="A10" s="622">
        <v>353</v>
      </c>
      <c r="B10" s="380" t="s">
        <v>515</v>
      </c>
      <c r="C10" s="382">
        <v>2.1999999999999999E-2</v>
      </c>
      <c r="D10" s="380"/>
    </row>
    <row r="11" spans="1:4" ht="14.5">
      <c r="A11" s="622">
        <v>354</v>
      </c>
      <c r="B11" s="380" t="s">
        <v>516</v>
      </c>
      <c r="C11" s="382">
        <v>1.8846999999999999E-2</v>
      </c>
      <c r="D11" s="380"/>
    </row>
    <row r="12" spans="1:4" ht="14.5">
      <c r="A12" s="622">
        <v>355</v>
      </c>
      <c r="B12" s="380" t="s">
        <v>517</v>
      </c>
      <c r="C12" s="382">
        <v>2.0799999999999999E-2</v>
      </c>
      <c r="D12" s="380"/>
    </row>
    <row r="13" spans="1:4" ht="14.5">
      <c r="A13" s="622">
        <v>356</v>
      </c>
      <c r="B13" s="380" t="s">
        <v>518</v>
      </c>
      <c r="C13" s="382">
        <v>2.2700000000000001E-2</v>
      </c>
      <c r="D13" s="380"/>
    </row>
    <row r="14" spans="1:4" ht="14.5">
      <c r="A14" s="622">
        <v>357</v>
      </c>
      <c r="B14" s="380" t="s">
        <v>519</v>
      </c>
      <c r="C14" s="382">
        <v>1.3665E-2</v>
      </c>
      <c r="D14" s="380"/>
    </row>
    <row r="15" spans="1:4" ht="14.5">
      <c r="A15" s="622">
        <v>358</v>
      </c>
      <c r="B15" s="380" t="s">
        <v>520</v>
      </c>
      <c r="C15" s="382">
        <v>1.8415999999999998E-2</v>
      </c>
      <c r="D15" s="380"/>
    </row>
    <row r="16" spans="1:4" ht="14.5">
      <c r="A16" s="622">
        <v>359</v>
      </c>
      <c r="B16" s="380" t="s">
        <v>521</v>
      </c>
      <c r="C16" s="382">
        <v>0</v>
      </c>
      <c r="D16" s="380"/>
    </row>
    <row r="17" spans="1:4" ht="14.5">
      <c r="A17" s="622"/>
      <c r="B17" s="380"/>
      <c r="C17" s="382"/>
      <c r="D17" s="380"/>
    </row>
    <row r="18" spans="1:4" ht="14.5">
      <c r="A18" s="623" t="s">
        <v>850</v>
      </c>
      <c r="B18" s="380"/>
      <c r="C18" s="383"/>
      <c r="D18" s="380"/>
    </row>
    <row r="19" spans="1:4" ht="14.5">
      <c r="A19" s="622">
        <v>302</v>
      </c>
      <c r="B19" s="380" t="s">
        <v>699</v>
      </c>
      <c r="C19" s="382" t="s">
        <v>522</v>
      </c>
      <c r="D19" s="380"/>
    </row>
    <row r="20" spans="1:4" ht="14.5">
      <c r="A20" s="622">
        <v>303</v>
      </c>
      <c r="B20" s="380" t="s">
        <v>523</v>
      </c>
      <c r="C20" s="382">
        <v>0.2</v>
      </c>
      <c r="D20" s="380"/>
    </row>
    <row r="21" spans="1:4" ht="14.5">
      <c r="A21" s="622">
        <v>390</v>
      </c>
      <c r="B21" s="384" t="s">
        <v>514</v>
      </c>
      <c r="C21" s="382">
        <v>2.1194000000000001E-2</v>
      </c>
      <c r="D21" s="380"/>
    </row>
    <row r="22" spans="1:4" ht="14.5">
      <c r="A22" s="622">
        <v>391</v>
      </c>
      <c r="B22" s="384" t="s">
        <v>524</v>
      </c>
      <c r="C22" s="382">
        <v>5.0671000000000001E-2</v>
      </c>
      <c r="D22" s="380"/>
    </row>
    <row r="23" spans="1:4" ht="14.5">
      <c r="A23" s="622">
        <v>391</v>
      </c>
      <c r="B23" s="384" t="s">
        <v>525</v>
      </c>
      <c r="C23" s="382">
        <v>0.25</v>
      </c>
      <c r="D23" s="380"/>
    </row>
    <row r="24" spans="1:4" ht="14.5">
      <c r="A24" s="622">
        <v>392</v>
      </c>
      <c r="B24" s="384" t="s">
        <v>526</v>
      </c>
      <c r="C24" s="382">
        <v>0.109667</v>
      </c>
      <c r="D24" s="380"/>
    </row>
    <row r="25" spans="1:4" ht="14.5">
      <c r="A25" s="622">
        <v>392</v>
      </c>
      <c r="B25" s="384" t="s">
        <v>527</v>
      </c>
      <c r="C25" s="382">
        <v>8.4139000000000005E-2</v>
      </c>
      <c r="D25" s="380"/>
    </row>
    <row r="26" spans="1:4" ht="14.5">
      <c r="A26" s="622">
        <v>392</v>
      </c>
      <c r="B26" s="384" t="s">
        <v>528</v>
      </c>
      <c r="C26" s="382">
        <v>6.9486000000000006E-2</v>
      </c>
      <c r="D26" s="380"/>
    </row>
    <row r="27" spans="1:4" ht="14.5">
      <c r="A27" s="622">
        <v>392</v>
      </c>
      <c r="B27" s="384" t="s">
        <v>529</v>
      </c>
      <c r="C27" s="382">
        <v>7.2363999999999998E-2</v>
      </c>
      <c r="D27" s="380"/>
    </row>
    <row r="28" spans="1:4" ht="14.5">
      <c r="A28" s="622">
        <v>393</v>
      </c>
      <c r="B28" s="384" t="s">
        <v>530</v>
      </c>
      <c r="C28" s="382">
        <v>5.1200000000000002E-2</v>
      </c>
      <c r="D28" s="380"/>
    </row>
    <row r="29" spans="1:4" ht="14.5">
      <c r="A29" s="622">
        <v>394</v>
      </c>
      <c r="B29" s="384" t="s">
        <v>531</v>
      </c>
      <c r="C29" s="382">
        <v>4.82E-2</v>
      </c>
      <c r="D29" s="380"/>
    </row>
    <row r="30" spans="1:4" ht="14.5">
      <c r="A30" s="622">
        <v>395</v>
      </c>
      <c r="B30" s="384" t="s">
        <v>532</v>
      </c>
      <c r="C30" s="382">
        <v>0.1</v>
      </c>
      <c r="D30" s="380"/>
    </row>
    <row r="31" spans="1:4" ht="14.5">
      <c r="A31" s="622">
        <v>396</v>
      </c>
      <c r="B31" s="384" t="s">
        <v>412</v>
      </c>
      <c r="C31" s="382">
        <v>8.4139000000000005E-2</v>
      </c>
      <c r="D31" s="380"/>
    </row>
    <row r="32" spans="1:4" ht="14.5">
      <c r="A32" s="622">
        <v>397</v>
      </c>
      <c r="B32" s="380" t="s">
        <v>413</v>
      </c>
      <c r="C32" s="382">
        <v>0.11111</v>
      </c>
      <c r="D32" s="380"/>
    </row>
    <row r="33" spans="1:4" ht="14.5">
      <c r="A33" s="622">
        <v>398</v>
      </c>
      <c r="B33" s="384" t="s">
        <v>533</v>
      </c>
      <c r="C33" s="382">
        <v>6.6671999999999995E-2</v>
      </c>
      <c r="D33" s="380"/>
    </row>
    <row r="34" spans="1:4" ht="14.5">
      <c r="A34" s="380"/>
      <c r="B34" s="380"/>
      <c r="C34" s="380"/>
      <c r="D34" s="380"/>
    </row>
    <row r="35" spans="1:4" ht="14.5">
      <c r="A35" s="519" t="s">
        <v>700</v>
      </c>
      <c r="B35" s="380"/>
      <c r="C35" s="380"/>
      <c r="D35" s="380"/>
    </row>
    <row r="36" spans="1:4" ht="14.5">
      <c r="A36" s="380" t="s">
        <v>851</v>
      </c>
      <c r="B36" s="380"/>
      <c r="C36" s="380"/>
      <c r="D36" s="380"/>
    </row>
    <row r="37" spans="1:4" ht="14.5">
      <c r="A37" s="519" t="s">
        <v>852</v>
      </c>
      <c r="B37" s="380"/>
      <c r="C37" s="384"/>
      <c r="D37" s="384"/>
    </row>
    <row r="38" spans="1:4" ht="14.5">
      <c r="A38" s="519" t="s">
        <v>947</v>
      </c>
      <c r="C38" s="385"/>
      <c r="D38" s="385"/>
    </row>
    <row r="39" spans="1:4" ht="15.5">
      <c r="A39" s="1002" t="s">
        <v>1134</v>
      </c>
      <c r="B39" s="1003"/>
      <c r="C39" s="1003"/>
    </row>
    <row r="40" spans="1:4" ht="14.5">
      <c r="A40" s="661" t="s">
        <v>948</v>
      </c>
      <c r="B40" s="232"/>
      <c r="C40" s="657"/>
    </row>
    <row r="41" spans="1:4">
      <c r="A41" s="238"/>
      <c r="B41" s="232"/>
      <c r="C41" s="241"/>
    </row>
    <row r="42" spans="1:4">
      <c r="A42" s="346"/>
      <c r="B42" s="232"/>
      <c r="C42" s="241"/>
    </row>
    <row r="43" spans="1:4">
      <c r="A43" s="238"/>
      <c r="B43" s="232"/>
      <c r="C43" s="241"/>
    </row>
    <row r="44" spans="1:4">
      <c r="A44" s="238"/>
      <c r="B44" s="232"/>
      <c r="C44" s="241"/>
    </row>
    <row r="45" spans="1:4">
      <c r="A45" s="238"/>
      <c r="B45" s="232"/>
      <c r="C45" s="241"/>
    </row>
    <row r="46" spans="1:4">
      <c r="A46" s="238"/>
      <c r="B46" s="232"/>
      <c r="C46" s="241"/>
    </row>
    <row r="47" spans="1:4">
      <c r="A47" s="238"/>
      <c r="B47" s="232"/>
      <c r="C47" s="241"/>
    </row>
    <row r="48" spans="1:4">
      <c r="A48" s="238"/>
      <c r="B48" s="232"/>
      <c r="C48" s="241"/>
    </row>
    <row r="49" spans="1:3">
      <c r="A49" s="238"/>
      <c r="B49" s="232"/>
      <c r="C49" s="241"/>
    </row>
    <row r="50" spans="1:3">
      <c r="A50" s="238"/>
      <c r="B50" s="232"/>
      <c r="C50" s="241"/>
    </row>
    <row r="51" spans="1:3">
      <c r="A51" s="238"/>
      <c r="B51" s="232"/>
      <c r="C51" s="241"/>
    </row>
    <row r="52" spans="1:3">
      <c r="A52" s="238"/>
      <c r="B52" s="232"/>
      <c r="C52" s="241"/>
    </row>
    <row r="53" spans="1:3">
      <c r="A53" s="238"/>
      <c r="B53" s="232"/>
      <c r="C53" s="241"/>
    </row>
    <row r="54" spans="1:3">
      <c r="A54" s="238"/>
      <c r="B54" s="232"/>
      <c r="C54" s="241"/>
    </row>
    <row r="55" spans="1:3">
      <c r="A55" s="238"/>
      <c r="B55" s="232"/>
    </row>
    <row r="56" spans="1:3">
      <c r="A56" s="239"/>
      <c r="B56" s="232"/>
    </row>
    <row r="57" spans="1:3">
      <c r="A57" s="239"/>
      <c r="B57" s="232"/>
    </row>
    <row r="58" spans="1:3">
      <c r="A58" s="239"/>
    </row>
    <row r="59" spans="1:3">
      <c r="A59" s="239"/>
    </row>
    <row r="60" spans="1:3">
      <c r="A60" s="239"/>
    </row>
    <row r="61" spans="1:3">
      <c r="A61" s="239"/>
    </row>
    <row r="62" spans="1:3">
      <c r="A62" s="239"/>
    </row>
    <row r="63" spans="1:3">
      <c r="A63" s="239"/>
    </row>
    <row r="64" spans="1:3">
      <c r="A64" s="239"/>
    </row>
    <row r="65" spans="1:1">
      <c r="A65" s="239"/>
    </row>
    <row r="66" spans="1:1">
      <c r="A66" s="239"/>
    </row>
    <row r="67" spans="1:1">
      <c r="A67" s="239"/>
    </row>
    <row r="68" spans="1:1" ht="24" customHeight="1">
      <c r="A68" s="239"/>
    </row>
    <row r="69" spans="1:1">
      <c r="A69" s="239"/>
    </row>
    <row r="70" spans="1:1">
      <c r="A70" s="239"/>
    </row>
    <row r="71" spans="1:1">
      <c r="A71" s="239"/>
    </row>
    <row r="72" spans="1:1">
      <c r="A72" s="239"/>
    </row>
    <row r="73" spans="1:1">
      <c r="A73" s="239"/>
    </row>
    <row r="74" spans="1:1">
      <c r="A74" s="239"/>
    </row>
    <row r="75" spans="1:1">
      <c r="A75" s="239"/>
    </row>
    <row r="76" spans="1:1">
      <c r="A76" s="239"/>
    </row>
    <row r="77" spans="1:1">
      <c r="A77" s="239"/>
    </row>
    <row r="78" spans="1:1">
      <c r="A78" s="239"/>
    </row>
  </sheetData>
  <mergeCells count="1">
    <mergeCell ref="A39:C39"/>
  </mergeCells>
  <phoneticPr fontId="0" type="noConversion"/>
  <pageMargins left="0.25" right="0.25" top="0.75" bottom="0.75" header="0.3" footer="0.3"/>
  <pageSetup scale="91" orientation="landscape" r:id="rId1"/>
  <headerFooter>
    <oddFooter xml:space="preserve">&amp;L&amp;"Times New Roman, Regular"&amp;8 DC: 5905718-1 </oddFoot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81A98-F708-468B-BB21-9F9142525C95}">
  <sheetPr>
    <tabColor rgb="FFFFC000"/>
    <pageSetUpPr fitToPage="1"/>
  </sheetPr>
  <dimension ref="A1:T131"/>
  <sheetViews>
    <sheetView zoomScaleNormal="100" workbookViewId="0">
      <pane xSplit="2" topLeftCell="C1" activePane="topRight" state="frozen"/>
      <selection pane="topRight" activeCell="K18" sqref="K18"/>
    </sheetView>
  </sheetViews>
  <sheetFormatPr defaultColWidth="6.765625" defaultRowHeight="12.5"/>
  <cols>
    <col min="1" max="1" width="28" style="883" customWidth="1"/>
    <col min="2" max="2" width="34.53515625" style="883" bestFit="1" customWidth="1"/>
    <col min="3" max="4" width="14.4609375" style="883" customWidth="1"/>
    <col min="5" max="6" width="14.07421875" style="883" bestFit="1" customWidth="1"/>
    <col min="7" max="7" width="10.07421875" style="883" bestFit="1" customWidth="1"/>
    <col min="8" max="8" width="14.07421875" style="883" bestFit="1" customWidth="1"/>
    <col min="9" max="9" width="7.07421875" style="883" bestFit="1" customWidth="1"/>
    <col min="10" max="10" width="14.07421875" style="883" bestFit="1" customWidth="1"/>
    <col min="11" max="11" width="12.53515625" style="883" bestFit="1" customWidth="1"/>
    <col min="12" max="12" width="7.07421875" style="883" bestFit="1" customWidth="1"/>
    <col min="13" max="14" width="14.07421875" style="883" bestFit="1" customWidth="1"/>
    <col min="15" max="15" width="12.69140625" style="883" customWidth="1"/>
    <col min="16" max="16384" width="6.765625" style="883"/>
  </cols>
  <sheetData>
    <row r="1" spans="1:20" ht="13">
      <c r="A1" s="880" t="s">
        <v>1139</v>
      </c>
      <c r="B1" s="881"/>
      <c r="C1" s="882"/>
      <c r="D1" s="882"/>
      <c r="E1" s="881"/>
      <c r="F1" s="881"/>
      <c r="G1" s="881"/>
      <c r="H1" s="881"/>
      <c r="I1" s="881"/>
      <c r="J1" s="881"/>
      <c r="K1" s="881"/>
      <c r="L1" s="881"/>
      <c r="M1" s="881"/>
      <c r="N1" s="881"/>
    </row>
    <row r="2" spans="1:20" ht="13">
      <c r="A2" s="880" t="s">
        <v>1277</v>
      </c>
      <c r="B2" s="881"/>
      <c r="C2" s="881" t="s">
        <v>1140</v>
      </c>
      <c r="D2" s="881"/>
      <c r="E2" s="881"/>
      <c r="F2" s="881"/>
      <c r="G2" s="881"/>
      <c r="H2" s="881"/>
      <c r="I2" s="881"/>
      <c r="J2" s="881"/>
      <c r="K2" s="881"/>
      <c r="L2" s="881"/>
      <c r="M2" s="881"/>
      <c r="N2" s="881"/>
    </row>
    <row r="3" spans="1:20" ht="13">
      <c r="A3" s="880" t="s">
        <v>1278</v>
      </c>
      <c r="B3" s="881"/>
      <c r="C3" s="881"/>
      <c r="D3" s="881"/>
      <c r="E3" s="881"/>
      <c r="F3" s="881"/>
      <c r="G3" s="881"/>
      <c r="H3" s="881"/>
      <c r="I3" s="881"/>
      <c r="J3" s="881"/>
      <c r="K3" s="881"/>
      <c r="L3" s="881"/>
      <c r="M3" s="881"/>
      <c r="N3" s="881"/>
    </row>
    <row r="4" spans="1:20" ht="13">
      <c r="A4" s="880"/>
      <c r="B4" s="881"/>
      <c r="C4" s="881"/>
      <c r="D4" s="881"/>
      <c r="E4" s="881"/>
      <c r="F4" s="881"/>
      <c r="G4" s="881"/>
      <c r="H4" s="881"/>
      <c r="I4" s="881"/>
      <c r="J4" s="881"/>
      <c r="K4" s="881"/>
      <c r="L4" s="881"/>
      <c r="M4" s="881"/>
      <c r="N4" s="881"/>
    </row>
    <row r="5" spans="1:20" ht="13">
      <c r="A5" s="880"/>
      <c r="B5" s="881"/>
      <c r="C5" s="881"/>
      <c r="D5" s="881"/>
      <c r="E5" s="881"/>
      <c r="F5" s="881"/>
      <c r="G5" s="881"/>
      <c r="H5" s="881"/>
      <c r="I5" s="881"/>
      <c r="J5" s="881"/>
      <c r="K5" s="881"/>
      <c r="L5" s="881"/>
      <c r="M5" s="881"/>
      <c r="N5" s="881"/>
    </row>
    <row r="6" spans="1:20">
      <c r="A6" s="881"/>
      <c r="B6" s="881"/>
      <c r="C6" s="1006">
        <v>1314</v>
      </c>
      <c r="D6" s="1006"/>
      <c r="E6" s="1006"/>
      <c r="F6" s="1006"/>
      <c r="G6" s="1006"/>
      <c r="H6" s="1006"/>
      <c r="I6" s="881"/>
      <c r="J6" s="881"/>
      <c r="K6" s="881"/>
      <c r="L6" s="881"/>
      <c r="M6" s="881"/>
      <c r="N6" s="881"/>
    </row>
    <row r="7" spans="1:20" ht="13">
      <c r="A7" s="884" t="s">
        <v>1141</v>
      </c>
      <c r="B7" s="881"/>
      <c r="C7" s="1007" t="s">
        <v>1142</v>
      </c>
      <c r="D7" s="1008"/>
      <c r="E7" s="1008"/>
      <c r="F7" s="1008"/>
      <c r="G7" s="1008"/>
      <c r="H7" s="1009"/>
      <c r="I7" s="881"/>
      <c r="J7" s="881"/>
      <c r="K7" s="881"/>
      <c r="L7" s="881"/>
      <c r="M7" s="881"/>
      <c r="N7" s="881"/>
    </row>
    <row r="8" spans="1:20" ht="13">
      <c r="A8" s="881"/>
      <c r="B8" s="881"/>
      <c r="C8" s="885"/>
      <c r="D8" s="885"/>
      <c r="E8" s="885"/>
      <c r="F8" s="885"/>
      <c r="G8" s="881"/>
      <c r="H8" s="881"/>
      <c r="I8" s="881"/>
      <c r="J8" s="881"/>
      <c r="K8" s="881"/>
      <c r="L8" s="881"/>
      <c r="M8" s="881"/>
      <c r="N8" s="881"/>
      <c r="Q8" s="886" t="s">
        <v>1143</v>
      </c>
      <c r="R8" s="887">
        <v>0.21</v>
      </c>
    </row>
    <row r="9" spans="1:20">
      <c r="A9" s="881" t="s">
        <v>1144</v>
      </c>
      <c r="B9" s="881" t="s">
        <v>1144</v>
      </c>
      <c r="C9" s="881"/>
      <c r="D9" s="881"/>
      <c r="E9" s="881"/>
      <c r="F9" s="881"/>
      <c r="G9" s="881"/>
      <c r="H9" s="881"/>
      <c r="I9" s="881"/>
      <c r="J9" s="888">
        <v>0.76839599957940252</v>
      </c>
      <c r="K9" s="888">
        <v>0.23160400042059753</v>
      </c>
      <c r="L9" s="881"/>
      <c r="M9" s="888">
        <v>0.76839599957940252</v>
      </c>
      <c r="N9" s="888">
        <v>0.23160400042059753</v>
      </c>
      <c r="Q9" s="889" t="s">
        <v>1145</v>
      </c>
      <c r="R9" s="890">
        <v>0.04</v>
      </c>
    </row>
    <row r="10" spans="1:20" ht="13">
      <c r="A10" s="881"/>
      <c r="B10" s="881"/>
      <c r="C10" s="885">
        <v>2025</v>
      </c>
      <c r="D10" s="885">
        <v>2026</v>
      </c>
      <c r="E10" s="885">
        <v>2026</v>
      </c>
      <c r="F10" s="885">
        <v>2026</v>
      </c>
      <c r="G10" s="885">
        <v>2027</v>
      </c>
      <c r="H10" s="885">
        <v>2027</v>
      </c>
      <c r="I10" s="881"/>
      <c r="J10" s="891" t="s">
        <v>1146</v>
      </c>
      <c r="K10" s="891" t="s">
        <v>1147</v>
      </c>
      <c r="L10" s="881"/>
      <c r="M10" s="891" t="s">
        <v>1146</v>
      </c>
      <c r="N10" s="891" t="s">
        <v>1147</v>
      </c>
      <c r="Q10" s="889" t="s">
        <v>1148</v>
      </c>
      <c r="R10" s="892">
        <f>-R9*R8</f>
        <v>-8.3999999999999995E-3</v>
      </c>
    </row>
    <row r="11" spans="1:20" ht="13">
      <c r="A11" s="893" t="s">
        <v>1149</v>
      </c>
      <c r="B11" s="893" t="s">
        <v>1150</v>
      </c>
      <c r="C11" s="893" t="s">
        <v>1151</v>
      </c>
      <c r="D11" s="893" t="s">
        <v>1152</v>
      </c>
      <c r="E11" s="894" t="s">
        <v>879</v>
      </c>
      <c r="F11" s="893" t="s">
        <v>1151</v>
      </c>
      <c r="G11" s="894" t="s">
        <v>879</v>
      </c>
      <c r="H11" s="893" t="s">
        <v>1151</v>
      </c>
      <c r="I11" s="885" t="s">
        <v>1153</v>
      </c>
      <c r="J11" s="1010" t="s">
        <v>1154</v>
      </c>
      <c r="K11" s="1010"/>
      <c r="L11" s="881"/>
      <c r="M11" s="1010" t="s">
        <v>1151</v>
      </c>
      <c r="N11" s="1010"/>
      <c r="Q11" s="895"/>
      <c r="R11" s="896">
        <f>SUM(R8:R10)</f>
        <v>0.24160000000000001</v>
      </c>
    </row>
    <row r="12" spans="1:20" ht="15.5">
      <c r="A12" s="897" t="s">
        <v>1155</v>
      </c>
      <c r="B12" s="897" t="s">
        <v>1156</v>
      </c>
      <c r="C12" t="s">
        <v>1144</v>
      </c>
      <c r="D12" s="881"/>
      <c r="E12" s="898"/>
      <c r="F12" s="881"/>
      <c r="G12" s="898"/>
      <c r="H12" s="881"/>
      <c r="I12" s="898"/>
      <c r="J12" s="899"/>
      <c r="K12" s="899"/>
      <c r="L12" s="900"/>
      <c r="M12" s="899"/>
      <c r="N12" s="899"/>
      <c r="O12" s="901"/>
    </row>
    <row r="13" spans="1:20" ht="15.5">
      <c r="A13" s="902" t="s">
        <v>1157</v>
      </c>
      <c r="B13" s="903" t="s">
        <v>1158</v>
      </c>
      <c r="C13" s="904">
        <v>43251</v>
      </c>
      <c r="D13" s="904">
        <v>3761</v>
      </c>
      <c r="E13" s="905">
        <f>(D13/8)*12</f>
        <v>5641.5</v>
      </c>
      <c r="F13" s="906">
        <f>C13+E13</f>
        <v>48892.5</v>
      </c>
      <c r="G13" s="906">
        <f>E13</f>
        <v>5641.5</v>
      </c>
      <c r="H13" s="906">
        <f t="shared" ref="H13:H16" si="0">G13+F13</f>
        <v>54534</v>
      </c>
      <c r="I13" s="907" t="s">
        <v>1159</v>
      </c>
      <c r="J13" s="908">
        <f>F13*$J$9</f>
        <v>37568.801409435939</v>
      </c>
      <c r="K13" s="908">
        <f>F13*$K$9</f>
        <v>11323.698590564065</v>
      </c>
      <c r="L13" s="908"/>
      <c r="M13" s="908">
        <f>H13*$M$9</f>
        <v>41903.707441063139</v>
      </c>
      <c r="N13" s="908">
        <f>H13*$N$9</f>
        <v>12630.292558936866</v>
      </c>
      <c r="O13" s="901"/>
    </row>
    <row r="14" spans="1:20" ht="15.5">
      <c r="A14" s="909" t="s">
        <v>1160</v>
      </c>
      <c r="B14" s="897" t="s">
        <v>1161</v>
      </c>
      <c r="C14" s="910">
        <v>-52679</v>
      </c>
      <c r="D14" s="910">
        <v>-1504</v>
      </c>
      <c r="E14" s="911">
        <f>(D14/8)*12</f>
        <v>-2256</v>
      </c>
      <c r="F14" s="912">
        <f>C14+E14</f>
        <v>-54935</v>
      </c>
      <c r="G14" s="912">
        <f>E14</f>
        <v>-2256</v>
      </c>
      <c r="H14" s="912">
        <f t="shared" si="0"/>
        <v>-57191</v>
      </c>
      <c r="I14" s="881"/>
      <c r="J14" s="900">
        <f>F14*$J$9</f>
        <v>-42211.83423689448</v>
      </c>
      <c r="K14" s="900">
        <f>F14*$K$9</f>
        <v>-12723.165763105526</v>
      </c>
      <c r="L14" s="900"/>
      <c r="M14" s="900">
        <f>H14*$M$9</f>
        <v>-43945.335611945608</v>
      </c>
      <c r="N14" s="900">
        <f>H14*$N$9</f>
        <v>-13245.664388054394</v>
      </c>
      <c r="O14" s="901"/>
      <c r="Q14" s="913"/>
      <c r="R14" s="914"/>
      <c r="S14" s="914"/>
      <c r="T14" s="914"/>
    </row>
    <row r="15" spans="1:20" ht="15.5">
      <c r="A15" s="902" t="s">
        <v>1162</v>
      </c>
      <c r="B15" s="903" t="s">
        <v>1163</v>
      </c>
      <c r="C15" s="904">
        <v>29212</v>
      </c>
      <c r="D15" s="904">
        <v>0</v>
      </c>
      <c r="E15" s="905">
        <f>(D15/8)*12</f>
        <v>0</v>
      </c>
      <c r="F15" s="906">
        <f>C15+E15</f>
        <v>29212</v>
      </c>
      <c r="G15" s="906">
        <f>E15</f>
        <v>0</v>
      </c>
      <c r="H15" s="906">
        <f t="shared" si="0"/>
        <v>29212</v>
      </c>
      <c r="I15" s="907" t="s">
        <v>1164</v>
      </c>
      <c r="J15" s="908">
        <f>F15*$J$9</f>
        <v>22446.383939713505</v>
      </c>
      <c r="K15" s="908">
        <f>F15*$K$9</f>
        <v>6765.6160602864948</v>
      </c>
      <c r="L15" s="908"/>
      <c r="M15" s="908">
        <f>H15*$M$9</f>
        <v>22446.383939713505</v>
      </c>
      <c r="N15" s="908">
        <f>H15*$N$9</f>
        <v>6765.6160602864948</v>
      </c>
      <c r="O15" s="901"/>
      <c r="Q15" s="914"/>
      <c r="R15" s="914"/>
      <c r="S15" s="914"/>
      <c r="T15" s="914"/>
    </row>
    <row r="16" spans="1:20" ht="15.5">
      <c r="A16" s="902" t="s">
        <v>1165</v>
      </c>
      <c r="B16" s="903" t="s">
        <v>1166</v>
      </c>
      <c r="C16" s="915">
        <v>4610</v>
      </c>
      <c r="D16" s="916">
        <v>0</v>
      </c>
      <c r="E16" s="916">
        <f>(D16/8)*12</f>
        <v>0</v>
      </c>
      <c r="F16" s="917">
        <f>C16+E16</f>
        <v>4610</v>
      </c>
      <c r="G16" s="917">
        <f>E16</f>
        <v>0</v>
      </c>
      <c r="H16" s="917">
        <f t="shared" si="0"/>
        <v>4610</v>
      </c>
      <c r="I16" s="907" t="s">
        <v>1164</v>
      </c>
      <c r="J16" s="918">
        <f>F16*$J$9</f>
        <v>3542.3055580610458</v>
      </c>
      <c r="K16" s="918">
        <f>F16*$K$9</f>
        <v>1067.6944419389547</v>
      </c>
      <c r="L16" s="918"/>
      <c r="M16" s="918">
        <f>H16*$M$9</f>
        <v>3542.3055580610458</v>
      </c>
      <c r="N16" s="918">
        <f>H16*$N$9</f>
        <v>1067.6944419389547</v>
      </c>
      <c r="O16" s="919"/>
      <c r="Q16" s="914"/>
      <c r="R16" s="914"/>
      <c r="S16" s="914"/>
      <c r="T16" s="914"/>
    </row>
    <row r="17" spans="1:20" ht="15.5">
      <c r="A17" s="897" t="s">
        <v>1167</v>
      </c>
      <c r="B17" t="s">
        <v>1144</v>
      </c>
      <c r="C17" s="912">
        <v>24395</v>
      </c>
      <c r="D17" s="912">
        <v>2257</v>
      </c>
      <c r="E17" s="912">
        <f t="shared" ref="E17:H17" si="1">SUM(E13:E16)</f>
        <v>3385.5</v>
      </c>
      <c r="F17" s="912">
        <f t="shared" si="1"/>
        <v>27779.5</v>
      </c>
      <c r="G17" s="912">
        <f t="shared" si="1"/>
        <v>3385.5</v>
      </c>
      <c r="H17" s="912">
        <f t="shared" si="1"/>
        <v>31165</v>
      </c>
      <c r="I17" s="881"/>
      <c r="J17" s="900">
        <f>F17*$J$9</f>
        <v>21345.656670316013</v>
      </c>
      <c r="K17" s="900">
        <f>F17*$K$9</f>
        <v>6433.8433296839894</v>
      </c>
      <c r="L17" s="900"/>
      <c r="M17" s="900">
        <f>H17*$M$9</f>
        <v>23947.061326892079</v>
      </c>
      <c r="N17" s="900">
        <f>H17*$N$9</f>
        <v>7217.9386731079221</v>
      </c>
      <c r="O17" s="901"/>
      <c r="Q17" s="914"/>
      <c r="R17" s="914"/>
      <c r="S17" s="914"/>
      <c r="T17" s="914"/>
    </row>
    <row r="18" spans="1:20" ht="15.5">
      <c r="A18" t="s">
        <v>1144</v>
      </c>
      <c r="B18" t="s">
        <v>1144</v>
      </c>
      <c r="C18" s="920">
        <f t="shared" ref="C18:H18" si="2">C17-C16-C15-C13</f>
        <v>-52678</v>
      </c>
      <c r="D18" s="920">
        <f t="shared" si="2"/>
        <v>-1504</v>
      </c>
      <c r="E18" s="920">
        <f t="shared" si="2"/>
        <v>-2256</v>
      </c>
      <c r="F18" s="920">
        <f t="shared" si="2"/>
        <v>-54935</v>
      </c>
      <c r="G18" s="920">
        <f t="shared" si="2"/>
        <v>-2256</v>
      </c>
      <c r="H18" s="920">
        <f t="shared" si="2"/>
        <v>-57191</v>
      </c>
      <c r="I18" s="921"/>
      <c r="J18" s="922">
        <f>J17-J16-J15-J13</f>
        <v>-42211.834236894472</v>
      </c>
      <c r="K18" s="922">
        <f>K17-K16-K15-K13</f>
        <v>-12723.165763105524</v>
      </c>
      <c r="L18" s="920"/>
      <c r="M18" s="922">
        <f>M17-M16-M15-M13</f>
        <v>-43945.335611945615</v>
      </c>
      <c r="N18" s="922">
        <f>N17-N16-N15-N13</f>
        <v>-13245.664388054392</v>
      </c>
      <c r="O18" s="901">
        <f>N18-K18</f>
        <v>-522.49862494886838</v>
      </c>
      <c r="Q18" s="914"/>
      <c r="R18" s="914"/>
      <c r="S18" s="914"/>
      <c r="T18" s="914"/>
    </row>
    <row r="19" spans="1:20" ht="15.5">
      <c r="A19" s="897" t="s">
        <v>1168</v>
      </c>
      <c r="B19" s="897" t="s">
        <v>1169</v>
      </c>
      <c r="C19" t="s">
        <v>1144</v>
      </c>
      <c r="D19" s="923"/>
      <c r="E19" s="881"/>
      <c r="F19" s="912"/>
      <c r="G19" s="881"/>
      <c r="H19" s="912"/>
      <c r="I19" s="881"/>
      <c r="J19" s="900"/>
      <c r="K19" s="900"/>
      <c r="L19" s="900"/>
      <c r="M19" s="900"/>
      <c r="N19" s="900"/>
      <c r="O19" s="901"/>
      <c r="Q19" s="914"/>
      <c r="R19" s="914"/>
      <c r="S19" s="914"/>
      <c r="T19" s="914"/>
    </row>
    <row r="20" spans="1:20" ht="15.5">
      <c r="A20" s="924" t="s">
        <v>1170</v>
      </c>
      <c r="B20" s="897" t="s">
        <v>1171</v>
      </c>
      <c r="C20" s="923">
        <v>-914</v>
      </c>
      <c r="D20" s="923">
        <v>0</v>
      </c>
      <c r="E20" s="911">
        <f t="shared" ref="E20:E23" si="3">(D20/8)*12</f>
        <v>0</v>
      </c>
      <c r="F20" s="912">
        <f>C20+E20</f>
        <v>-914</v>
      </c>
      <c r="G20" s="912">
        <f>E20</f>
        <v>0</v>
      </c>
      <c r="H20" s="912">
        <f>G20+F20</f>
        <v>-914</v>
      </c>
      <c r="I20" s="881"/>
      <c r="J20" s="900">
        <f t="shared" ref="J20:J34" si="4">F20*$J$9</f>
        <v>-702.31394361557386</v>
      </c>
      <c r="K20" s="900">
        <f t="shared" ref="K20:K34" si="5">F20*$K$9</f>
        <v>-211.68605638442614</v>
      </c>
      <c r="L20" s="900"/>
      <c r="M20" s="900">
        <f t="shared" ref="M20:M34" si="6">H20*$M$9</f>
        <v>-702.31394361557386</v>
      </c>
      <c r="N20" s="900">
        <f t="shared" ref="N20:N34" si="7">H20*$N$9</f>
        <v>-211.68605638442614</v>
      </c>
      <c r="O20" s="901"/>
      <c r="Q20" s="914"/>
      <c r="R20" s="914"/>
      <c r="S20" s="914"/>
      <c r="T20" s="914"/>
    </row>
    <row r="21" spans="1:20" ht="15.5">
      <c r="A21" s="902" t="s">
        <v>1172</v>
      </c>
      <c r="B21" s="903" t="s">
        <v>1173</v>
      </c>
      <c r="C21" s="904">
        <v>-64713</v>
      </c>
      <c r="D21" s="904">
        <v>0</v>
      </c>
      <c r="E21" s="905">
        <f t="shared" si="3"/>
        <v>0</v>
      </c>
      <c r="F21" s="906">
        <f t="shared" ref="F21:F34" si="8">C21+E21</f>
        <v>-64713</v>
      </c>
      <c r="G21" s="906">
        <f>E21</f>
        <v>0</v>
      </c>
      <c r="H21" s="906">
        <f t="shared" ref="H21:H34" si="9">G21+F21</f>
        <v>-64713</v>
      </c>
      <c r="I21" s="907" t="s">
        <v>1164</v>
      </c>
      <c r="J21" s="908">
        <f t="shared" si="4"/>
        <v>-49725.210320781873</v>
      </c>
      <c r="K21" s="908">
        <f t="shared" si="5"/>
        <v>-14987.789679218127</v>
      </c>
      <c r="L21" s="908"/>
      <c r="M21" s="908">
        <f t="shared" si="6"/>
        <v>-49725.210320781873</v>
      </c>
      <c r="N21" s="908">
        <f t="shared" si="7"/>
        <v>-14987.789679218127</v>
      </c>
      <c r="O21" s="901"/>
      <c r="Q21" s="913"/>
      <c r="R21" s="914"/>
      <c r="S21" s="914"/>
      <c r="T21" s="914"/>
    </row>
    <row r="22" spans="1:20" ht="15.5">
      <c r="A22" s="902" t="s">
        <v>1174</v>
      </c>
      <c r="B22" s="903" t="s">
        <v>1173</v>
      </c>
      <c r="C22" s="904">
        <v>-10532</v>
      </c>
      <c r="D22" s="904">
        <v>0</v>
      </c>
      <c r="E22" s="905">
        <f t="shared" si="3"/>
        <v>0</v>
      </c>
      <c r="F22" s="906">
        <f t="shared" si="8"/>
        <v>-10532</v>
      </c>
      <c r="G22" s="906">
        <f>E22</f>
        <v>0</v>
      </c>
      <c r="H22" s="906">
        <f t="shared" si="9"/>
        <v>-10532</v>
      </c>
      <c r="I22" s="907" t="s">
        <v>1164</v>
      </c>
      <c r="J22" s="908">
        <f t="shared" si="4"/>
        <v>-8092.7466675702672</v>
      </c>
      <c r="K22" s="908">
        <f t="shared" si="5"/>
        <v>-2439.2533324297333</v>
      </c>
      <c r="L22" s="908"/>
      <c r="M22" s="908">
        <f t="shared" si="6"/>
        <v>-8092.7466675702672</v>
      </c>
      <c r="N22" s="908">
        <f t="shared" si="7"/>
        <v>-2439.2533324297333</v>
      </c>
      <c r="O22" s="901"/>
      <c r="Q22" s="914"/>
      <c r="R22" s="914"/>
      <c r="S22" s="914"/>
      <c r="T22" s="914"/>
    </row>
    <row r="23" spans="1:20" ht="15.5">
      <c r="A23" s="924" t="s">
        <v>1175</v>
      </c>
      <c r="B23" s="897" t="s">
        <v>1176</v>
      </c>
      <c r="C23" s="923">
        <v>-87798</v>
      </c>
      <c r="D23" s="923">
        <v>0</v>
      </c>
      <c r="E23" s="925">
        <f t="shared" si="3"/>
        <v>0</v>
      </c>
      <c r="F23" s="912">
        <f t="shared" si="8"/>
        <v>-87798</v>
      </c>
      <c r="G23" s="912">
        <f>E23</f>
        <v>0</v>
      </c>
      <c r="H23" s="912">
        <f t="shared" si="9"/>
        <v>-87798</v>
      </c>
      <c r="I23" s="881"/>
      <c r="J23" s="900">
        <f t="shared" si="4"/>
        <v>-67463.631971072376</v>
      </c>
      <c r="K23" s="900">
        <f t="shared" si="5"/>
        <v>-20334.368028927624</v>
      </c>
      <c r="L23" s="900"/>
      <c r="M23" s="900">
        <f t="shared" si="6"/>
        <v>-67463.631971072376</v>
      </c>
      <c r="N23" s="900">
        <f t="shared" si="7"/>
        <v>-20334.368028927624</v>
      </c>
      <c r="O23" s="901"/>
      <c r="Q23" s="914"/>
      <c r="R23" s="914"/>
      <c r="S23" s="914"/>
      <c r="T23" s="914"/>
    </row>
    <row r="24" spans="1:20" ht="15.5">
      <c r="A24" s="924" t="s">
        <v>1177</v>
      </c>
      <c r="B24" s="897" t="s">
        <v>1178</v>
      </c>
      <c r="C24" s="923">
        <v>-1644084</v>
      </c>
      <c r="D24" s="923">
        <v>-1027632</v>
      </c>
      <c r="E24" s="925">
        <f>-6355708*R11</f>
        <v>-1535539.0527999999</v>
      </c>
      <c r="F24" s="912">
        <f t="shared" si="8"/>
        <v>-3179623.0527999997</v>
      </c>
      <c r="G24" s="912">
        <f>-4835832*R11</f>
        <v>-1168337.0112000001</v>
      </c>
      <c r="H24" s="912">
        <f t="shared" si="9"/>
        <v>-4347960.0639999993</v>
      </c>
      <c r="I24" s="881"/>
      <c r="J24" s="900">
        <f t="shared" si="4"/>
        <v>-2443209.633941967</v>
      </c>
      <c r="K24" s="900">
        <f t="shared" si="5"/>
        <v>-736413.41885803279</v>
      </c>
      <c r="L24" s="900"/>
      <c r="M24" s="900">
        <f t="shared" si="6"/>
        <v>-3340955.1195086027</v>
      </c>
      <c r="N24" s="900">
        <f t="shared" si="7"/>
        <v>-1007004.9444913971</v>
      </c>
      <c r="O24" s="901"/>
      <c r="Q24" s="914"/>
      <c r="R24" s="914"/>
      <c r="S24" s="914"/>
      <c r="T24" s="914"/>
    </row>
    <row r="25" spans="1:20" ht="15.5">
      <c r="A25" s="924" t="s">
        <v>1179</v>
      </c>
      <c r="B25" s="897" t="s">
        <v>1180</v>
      </c>
      <c r="C25" s="923">
        <v>649734</v>
      </c>
      <c r="D25" s="923">
        <v>447657</v>
      </c>
      <c r="E25" s="926">
        <f>2832942*R11</f>
        <v>684438.78720000002</v>
      </c>
      <c r="F25" s="912">
        <f>C25+E25</f>
        <v>1334172.7872000001</v>
      </c>
      <c r="G25" s="927">
        <f>1923236*R11</f>
        <v>464653.81760000001</v>
      </c>
      <c r="H25" s="912">
        <f t="shared" si="9"/>
        <v>1798826.6048000001</v>
      </c>
      <c r="I25" s="881"/>
      <c r="J25" s="900">
        <f t="shared" si="4"/>
        <v>1025173.0324321816</v>
      </c>
      <c r="K25" s="900">
        <f t="shared" si="5"/>
        <v>308999.75476781861</v>
      </c>
      <c r="L25" s="900"/>
      <c r="M25" s="900">
        <f t="shared" si="6"/>
        <v>1382211.1670653189</v>
      </c>
      <c r="N25" s="900">
        <f t="shared" si="7"/>
        <v>416615.43773468124</v>
      </c>
      <c r="O25" s="901"/>
      <c r="Q25" s="914"/>
      <c r="R25" s="914"/>
      <c r="S25" s="914"/>
      <c r="T25" s="914"/>
    </row>
    <row r="26" spans="1:20" ht="15.5">
      <c r="A26" s="924" t="s">
        <v>1181</v>
      </c>
      <c r="B26" s="897" t="s">
        <v>1182</v>
      </c>
      <c r="C26" s="923">
        <v>-2875</v>
      </c>
      <c r="D26" s="923">
        <v>-1120</v>
      </c>
      <c r="E26" s="926">
        <f>(D26/8)*12</f>
        <v>-1680</v>
      </c>
      <c r="F26" s="912">
        <f>C26+E26</f>
        <v>-4555</v>
      </c>
      <c r="G26" s="927">
        <f>E26</f>
        <v>-1680</v>
      </c>
      <c r="H26" s="912">
        <f t="shared" si="9"/>
        <v>-6235</v>
      </c>
      <c r="I26" s="881"/>
      <c r="J26" s="900">
        <f t="shared" si="4"/>
        <v>-3500.0437780841785</v>
      </c>
      <c r="K26" s="900">
        <f t="shared" si="5"/>
        <v>-1054.9562219158217</v>
      </c>
      <c r="L26" s="900"/>
      <c r="M26" s="900">
        <f t="shared" si="6"/>
        <v>-4790.9490573775747</v>
      </c>
      <c r="N26" s="900">
        <f t="shared" si="7"/>
        <v>-1444.0509426224255</v>
      </c>
      <c r="O26" s="901"/>
      <c r="Q26" s="914"/>
      <c r="R26" s="914"/>
      <c r="S26" s="914"/>
      <c r="T26" s="914"/>
    </row>
    <row r="27" spans="1:20" ht="15.5">
      <c r="A27" s="924" t="s">
        <v>1183</v>
      </c>
      <c r="B27" s="897" t="s">
        <v>1184</v>
      </c>
      <c r="C27" s="923">
        <v>-5451937</v>
      </c>
      <c r="D27" s="923">
        <v>0</v>
      </c>
      <c r="E27" s="911">
        <f t="shared" ref="E27:E34" si="10">(D27/8)*12</f>
        <v>0</v>
      </c>
      <c r="F27" s="912">
        <f t="shared" si="8"/>
        <v>-5451937</v>
      </c>
      <c r="G27" s="912">
        <f t="shared" ref="G27:G34" si="11">E27</f>
        <v>0</v>
      </c>
      <c r="H27" s="912">
        <f t="shared" si="9"/>
        <v>-5451937</v>
      </c>
      <c r="I27" s="881"/>
      <c r="J27" s="900">
        <f t="shared" si="4"/>
        <v>-4189246.5807589293</v>
      </c>
      <c r="K27" s="900">
        <f t="shared" si="5"/>
        <v>-1262690.4192410712</v>
      </c>
      <c r="L27" s="900"/>
      <c r="M27" s="900">
        <f t="shared" si="6"/>
        <v>-4189246.5807589293</v>
      </c>
      <c r="N27" s="900">
        <f t="shared" si="7"/>
        <v>-1262690.4192410712</v>
      </c>
      <c r="O27" s="901"/>
      <c r="Q27" s="914"/>
      <c r="R27" s="914"/>
      <c r="S27" s="914"/>
      <c r="T27" s="914"/>
    </row>
    <row r="28" spans="1:20" ht="15.5">
      <c r="A28" s="924" t="s">
        <v>1185</v>
      </c>
      <c r="B28" s="897" t="s">
        <v>1186</v>
      </c>
      <c r="C28" s="923">
        <v>-1070</v>
      </c>
      <c r="D28" s="923">
        <v>4171</v>
      </c>
      <c r="E28" s="925">
        <f t="shared" si="10"/>
        <v>6256.5</v>
      </c>
      <c r="F28" s="912">
        <f>C28+E28</f>
        <v>5186.5</v>
      </c>
      <c r="G28" s="912">
        <f t="shared" si="11"/>
        <v>6256.5</v>
      </c>
      <c r="H28" s="912">
        <f t="shared" si="9"/>
        <v>11443</v>
      </c>
      <c r="I28" s="881"/>
      <c r="J28" s="900">
        <f t="shared" si="4"/>
        <v>3985.2858518185712</v>
      </c>
      <c r="K28" s="900">
        <f t="shared" si="5"/>
        <v>1201.2141481814292</v>
      </c>
      <c r="L28" s="900"/>
      <c r="M28" s="900">
        <f t="shared" si="6"/>
        <v>8792.7554231871036</v>
      </c>
      <c r="N28" s="900">
        <f t="shared" si="7"/>
        <v>2650.2445768128978</v>
      </c>
      <c r="O28" s="901"/>
    </row>
    <row r="29" spans="1:20" ht="15.5">
      <c r="A29" s="924" t="s">
        <v>1187</v>
      </c>
      <c r="B29" s="897" t="s">
        <v>1188</v>
      </c>
      <c r="C29" s="923">
        <v>51772</v>
      </c>
      <c r="D29" s="923">
        <v>17185</v>
      </c>
      <c r="E29" s="911">
        <f t="shared" si="10"/>
        <v>25777.5</v>
      </c>
      <c r="F29" s="912">
        <f t="shared" si="8"/>
        <v>77549.5</v>
      </c>
      <c r="G29" s="912">
        <f t="shared" si="11"/>
        <v>25777.5</v>
      </c>
      <c r="H29" s="912">
        <f t="shared" si="9"/>
        <v>103327</v>
      </c>
      <c r="I29" s="881"/>
      <c r="J29" s="900">
        <f t="shared" si="4"/>
        <v>59588.725569382877</v>
      </c>
      <c r="K29" s="900">
        <f t="shared" si="5"/>
        <v>17960.77443061713</v>
      </c>
      <c r="L29" s="900"/>
      <c r="M29" s="900">
        <f t="shared" si="6"/>
        <v>79396.05344854093</v>
      </c>
      <c r="N29" s="900">
        <f t="shared" si="7"/>
        <v>23930.946551459081</v>
      </c>
      <c r="O29" s="901"/>
    </row>
    <row r="30" spans="1:20" ht="15.5">
      <c r="A30" s="924" t="s">
        <v>1189</v>
      </c>
      <c r="B30" s="897" t="s">
        <v>1190</v>
      </c>
      <c r="C30" s="923">
        <v>-23134</v>
      </c>
      <c r="D30" s="923">
        <v>-40491</v>
      </c>
      <c r="E30" s="911">
        <f t="shared" si="10"/>
        <v>-60736.5</v>
      </c>
      <c r="F30" s="912">
        <f t="shared" si="8"/>
        <v>-83870.5</v>
      </c>
      <c r="G30" s="912">
        <f t="shared" si="11"/>
        <v>-60736.5</v>
      </c>
      <c r="H30" s="912">
        <f t="shared" si="9"/>
        <v>-144607</v>
      </c>
      <c r="I30" s="881"/>
      <c r="J30" s="900">
        <f t="shared" si="4"/>
        <v>-64445.756682724277</v>
      </c>
      <c r="K30" s="900">
        <f t="shared" si="5"/>
        <v>-19424.743317275726</v>
      </c>
      <c r="L30" s="900"/>
      <c r="M30" s="900">
        <f t="shared" si="6"/>
        <v>-111115.44031117867</v>
      </c>
      <c r="N30" s="900">
        <f t="shared" si="7"/>
        <v>-33491.559688821348</v>
      </c>
      <c r="O30" s="901"/>
    </row>
    <row r="31" spans="1:20" ht="15.5">
      <c r="A31" s="924" t="s">
        <v>1191</v>
      </c>
      <c r="B31" s="897" t="s">
        <v>1192</v>
      </c>
      <c r="C31" s="923">
        <v>-5983</v>
      </c>
      <c r="D31" s="923">
        <v>0</v>
      </c>
      <c r="E31" s="911">
        <f t="shared" si="10"/>
        <v>0</v>
      </c>
      <c r="F31" s="912">
        <f t="shared" si="8"/>
        <v>-5983</v>
      </c>
      <c r="G31" s="912">
        <f t="shared" si="11"/>
        <v>0</v>
      </c>
      <c r="H31" s="912">
        <f t="shared" si="9"/>
        <v>-5983</v>
      </c>
      <c r="I31" s="881"/>
      <c r="J31" s="900">
        <f t="shared" si="4"/>
        <v>-4597.3132654835654</v>
      </c>
      <c r="K31" s="900">
        <f t="shared" si="5"/>
        <v>-1385.6867345164351</v>
      </c>
      <c r="L31" s="900"/>
      <c r="M31" s="900">
        <f t="shared" si="6"/>
        <v>-4597.3132654835654</v>
      </c>
      <c r="N31" s="900">
        <f t="shared" si="7"/>
        <v>-1385.6867345164351</v>
      </c>
      <c r="O31" s="901"/>
    </row>
    <row r="32" spans="1:20" ht="15.5">
      <c r="A32" s="924" t="s">
        <v>1193</v>
      </c>
      <c r="B32" s="897" t="s">
        <v>1194</v>
      </c>
      <c r="C32" s="923">
        <v>-10867</v>
      </c>
      <c r="D32" s="923">
        <v>4859</v>
      </c>
      <c r="E32" s="911">
        <f t="shared" si="10"/>
        <v>7288.5</v>
      </c>
      <c r="F32" s="912">
        <f t="shared" si="8"/>
        <v>-3578.5</v>
      </c>
      <c r="G32" s="912">
        <f t="shared" si="11"/>
        <v>7288.5</v>
      </c>
      <c r="H32" s="912">
        <f t="shared" si="9"/>
        <v>3710</v>
      </c>
      <c r="I32" s="881"/>
      <c r="J32" s="900">
        <f t="shared" si="4"/>
        <v>-2749.7050844948917</v>
      </c>
      <c r="K32" s="900">
        <f t="shared" si="5"/>
        <v>-828.79491550510829</v>
      </c>
      <c r="L32" s="900"/>
      <c r="M32" s="900">
        <f t="shared" si="6"/>
        <v>2850.7491584395834</v>
      </c>
      <c r="N32" s="900">
        <f t="shared" si="7"/>
        <v>859.2508415604168</v>
      </c>
      <c r="O32" s="901"/>
    </row>
    <row r="33" spans="1:17" ht="15.5">
      <c r="A33" s="924" t="s">
        <v>1279</v>
      </c>
      <c r="B33" s="897" t="s">
        <v>1280</v>
      </c>
      <c r="C33" s="923">
        <v>-17483</v>
      </c>
      <c r="D33" s="923">
        <v>0</v>
      </c>
      <c r="E33" s="911">
        <f t="shared" si="10"/>
        <v>0</v>
      </c>
      <c r="F33" s="912">
        <f t="shared" si="8"/>
        <v>-17483</v>
      </c>
      <c r="G33" s="912">
        <f t="shared" si="11"/>
        <v>0</v>
      </c>
      <c r="H33" s="912">
        <f t="shared" si="9"/>
        <v>-17483</v>
      </c>
      <c r="I33" s="881"/>
      <c r="J33" s="900">
        <f t="shared" si="4"/>
        <v>-13433.867260646693</v>
      </c>
      <c r="K33" s="900">
        <f t="shared" si="5"/>
        <v>-4049.1327393533065</v>
      </c>
      <c r="L33" s="900"/>
      <c r="M33" s="900">
        <f t="shared" si="6"/>
        <v>-13433.867260646693</v>
      </c>
      <c r="N33" s="900">
        <f t="shared" si="7"/>
        <v>-4049.1327393533065</v>
      </c>
      <c r="O33" s="901"/>
    </row>
    <row r="34" spans="1:17" ht="15.5">
      <c r="A34" s="902" t="s">
        <v>1195</v>
      </c>
      <c r="B34" s="903" t="s">
        <v>1196</v>
      </c>
      <c r="C34" s="915">
        <v>87798</v>
      </c>
      <c r="D34" s="904">
        <v>0</v>
      </c>
      <c r="E34" s="905">
        <f t="shared" si="10"/>
        <v>0</v>
      </c>
      <c r="F34" s="917">
        <f t="shared" si="8"/>
        <v>87798</v>
      </c>
      <c r="G34" s="906">
        <f t="shared" si="11"/>
        <v>0</v>
      </c>
      <c r="H34" s="906">
        <f t="shared" si="9"/>
        <v>87798</v>
      </c>
      <c r="I34" s="907"/>
      <c r="J34" s="918">
        <f t="shared" si="4"/>
        <v>67463.631971072376</v>
      </c>
      <c r="K34" s="918">
        <f t="shared" si="5"/>
        <v>20334.368028927624</v>
      </c>
      <c r="L34" s="918"/>
      <c r="M34" s="918">
        <f t="shared" si="6"/>
        <v>67463.631971072376</v>
      </c>
      <c r="N34" s="918">
        <f t="shared" si="7"/>
        <v>20334.368028927624</v>
      </c>
      <c r="O34" s="901"/>
    </row>
    <row r="35" spans="1:17" ht="15.5">
      <c r="A35" s="897" t="s">
        <v>1281</v>
      </c>
      <c r="B35" t="s">
        <v>1282</v>
      </c>
      <c r="C35" s="928">
        <v>17483</v>
      </c>
      <c r="D35" s="929">
        <v>0</v>
      </c>
      <c r="E35" s="929">
        <f>(D35/8)*12</f>
        <v>0</v>
      </c>
      <c r="F35" s="930">
        <f>C35+E35</f>
        <v>17483</v>
      </c>
      <c r="G35" s="931">
        <f>E35</f>
        <v>0</v>
      </c>
      <c r="H35" s="931">
        <f>G35+F35</f>
        <v>17483</v>
      </c>
      <c r="I35" s="881" t="s">
        <v>1164</v>
      </c>
      <c r="J35" s="900">
        <f>F35*$J$9</f>
        <v>13433.867260646693</v>
      </c>
      <c r="K35" s="900">
        <f>F35*$K$9</f>
        <v>4049.1327393533065</v>
      </c>
      <c r="L35" s="900"/>
      <c r="M35" s="900">
        <f>H35*$M$9</f>
        <v>13433.867260646693</v>
      </c>
      <c r="N35" s="900">
        <f>H35*$N$9</f>
        <v>4049.1327393533065</v>
      </c>
      <c r="O35" s="901"/>
    </row>
    <row r="36" spans="1:17" ht="15.5">
      <c r="A36" t="s">
        <v>1197</v>
      </c>
      <c r="B36" t="s">
        <v>1144</v>
      </c>
      <c r="C36" s="920">
        <v>-6514602</v>
      </c>
      <c r="D36" s="920">
        <v>-595372</v>
      </c>
      <c r="E36" s="920">
        <f>SUM(E20:E35)</f>
        <v>-874194.26559999993</v>
      </c>
      <c r="F36" s="920">
        <f>SUM(F20:F35)</f>
        <v>-7388797.2655999996</v>
      </c>
      <c r="G36" s="920">
        <f>SUM(G20:G35)</f>
        <v>-726777.19360000012</v>
      </c>
      <c r="H36" s="920">
        <f>SUM(H20:H35)</f>
        <v>-8115574.4591999995</v>
      </c>
      <c r="I36" s="932"/>
      <c r="J36" s="933">
        <f>F36*$J$9</f>
        <v>-5677522.2605902674</v>
      </c>
      <c r="K36" s="933">
        <f>F36*$K$9</f>
        <v>-1711275.0050097322</v>
      </c>
      <c r="L36" s="932"/>
      <c r="M36" s="933">
        <f>H36*$M$9</f>
        <v>-6235974.9487380525</v>
      </c>
      <c r="N36" s="933">
        <f>H36*$N$9</f>
        <v>-1879599.5104619472</v>
      </c>
      <c r="O36" s="901"/>
    </row>
    <row r="37" spans="1:17" ht="15.5">
      <c r="A37" s="897"/>
      <c r="B37" s="897"/>
      <c r="C37">
        <f t="shared" ref="C37:H37" si="12">C36-C35-C34-C22-C21</f>
        <v>-6544638</v>
      </c>
      <c r="D37" s="900">
        <f t="shared" si="12"/>
        <v>-595372</v>
      </c>
      <c r="E37" s="900">
        <f t="shared" si="12"/>
        <v>-874194.26559999993</v>
      </c>
      <c r="F37" s="900">
        <f t="shared" si="12"/>
        <v>-7418833.2655999996</v>
      </c>
      <c r="G37" s="900">
        <f t="shared" si="12"/>
        <v>-726777.19360000012</v>
      </c>
      <c r="H37" s="900">
        <f t="shared" si="12"/>
        <v>-8145610.4591999995</v>
      </c>
      <c r="I37" s="881"/>
      <c r="J37" s="900">
        <f>J36-J22-J21-J35-J34</f>
        <v>-5700601.8028336344</v>
      </c>
      <c r="K37" s="900">
        <f>K36-K22-K21-K35-K34</f>
        <v>-1718231.4627663651</v>
      </c>
      <c r="L37" s="900"/>
      <c r="M37" s="900">
        <f>M36-M22-M21-M34-M35</f>
        <v>-6259054.4909814196</v>
      </c>
      <c r="N37" s="900">
        <f>N36-N22-N21-N34-N35</f>
        <v>-1886555.9682185801</v>
      </c>
      <c r="O37" s="901">
        <f>N37-K37</f>
        <v>-168324.50545221497</v>
      </c>
    </row>
    <row r="38" spans="1:17" ht="15.5">
      <c r="A38" s="897" t="s">
        <v>1198</v>
      </c>
      <c r="B38" t="s">
        <v>1199</v>
      </c>
      <c r="C38" s="923"/>
      <c r="D38" s="912"/>
      <c r="E38" s="881"/>
      <c r="F38" s="912"/>
      <c r="G38" s="881"/>
      <c r="H38" s="912"/>
      <c r="I38" s="881"/>
      <c r="J38" s="900"/>
      <c r="K38" s="900"/>
      <c r="L38" s="900"/>
      <c r="M38" s="900"/>
      <c r="N38" s="900"/>
      <c r="O38" s="901"/>
    </row>
    <row r="39" spans="1:17" ht="15.5">
      <c r="A39" t="s">
        <v>1200</v>
      </c>
      <c r="B39" t="s">
        <v>1144</v>
      </c>
      <c r="C39" t="s">
        <v>1144</v>
      </c>
      <c r="D39" s="912"/>
      <c r="E39" s="881"/>
      <c r="F39" s="912"/>
      <c r="G39" s="881"/>
      <c r="H39" s="912"/>
      <c r="I39" s="881"/>
      <c r="J39" s="900"/>
      <c r="K39" s="900"/>
      <c r="L39" s="900"/>
      <c r="M39" s="900"/>
      <c r="N39" s="900"/>
      <c r="O39" s="901"/>
    </row>
    <row r="40" spans="1:17" ht="15.5">
      <c r="A40" s="897"/>
      <c r="B40" s="897"/>
      <c r="C40" t="s">
        <v>1144</v>
      </c>
      <c r="D40" s="912"/>
      <c r="E40" s="881"/>
      <c r="F40" s="912"/>
      <c r="G40" s="881"/>
      <c r="H40" s="912"/>
      <c r="I40" s="881"/>
      <c r="J40" s="900"/>
      <c r="K40" s="900"/>
      <c r="L40" s="900"/>
      <c r="M40" s="900"/>
      <c r="N40" s="900"/>
      <c r="O40" s="901"/>
    </row>
    <row r="41" spans="1:17" ht="15.5">
      <c r="A41" s="924" t="s">
        <v>1201</v>
      </c>
      <c r="B41" s="897" t="s">
        <v>1202</v>
      </c>
      <c r="C41" s="923"/>
      <c r="D41" s="912"/>
      <c r="E41" s="881"/>
      <c r="F41" s="912"/>
      <c r="G41" s="881"/>
      <c r="H41" s="912"/>
      <c r="I41" s="881"/>
      <c r="J41" s="900"/>
      <c r="K41" s="900"/>
      <c r="L41" s="900"/>
      <c r="M41" s="900"/>
      <c r="N41" s="900"/>
      <c r="O41" s="901"/>
      <c r="Q41"/>
    </row>
    <row r="42" spans="1:17" ht="13.5" customHeight="1">
      <c r="A42" s="902" t="s">
        <v>1203</v>
      </c>
      <c r="B42" s="903" t="s">
        <v>1204</v>
      </c>
      <c r="C42" s="904">
        <v>-689275</v>
      </c>
      <c r="D42" s="906">
        <v>0</v>
      </c>
      <c r="E42" s="906">
        <v>0</v>
      </c>
      <c r="F42" s="906">
        <f>C42+E42</f>
        <v>-689275</v>
      </c>
      <c r="G42" s="906">
        <f>E42</f>
        <v>0</v>
      </c>
      <c r="H42" s="906">
        <f>F42+G42</f>
        <v>-689275</v>
      </c>
      <c r="I42" s="907"/>
      <c r="J42" s="908">
        <f>F42*$J$9</f>
        <v>-529636.15261009266</v>
      </c>
      <c r="K42" s="908">
        <f>F42*$K$9</f>
        <v>-159638.84738990737</v>
      </c>
      <c r="L42" s="908"/>
      <c r="M42" s="908">
        <f t="shared" ref="M42:M43" si="13">H42*$M$9</f>
        <v>-529636.15261009266</v>
      </c>
      <c r="N42" s="908">
        <f t="shared" ref="N42:N43" si="14">H42*$N$9</f>
        <v>-159638.84738990737</v>
      </c>
      <c r="O42" s="901"/>
    </row>
    <row r="43" spans="1:17" ht="15.5">
      <c r="A43" s="902" t="s">
        <v>1205</v>
      </c>
      <c r="B43" s="903" t="s">
        <v>1206</v>
      </c>
      <c r="C43" s="915">
        <v>-20906</v>
      </c>
      <c r="D43" s="934">
        <v>0</v>
      </c>
      <c r="E43" s="934">
        <v>0</v>
      </c>
      <c r="F43" s="917">
        <f>C43+E43</f>
        <v>-20906</v>
      </c>
      <c r="G43" s="934">
        <f>E43</f>
        <v>0</v>
      </c>
      <c r="H43" s="917">
        <f>F43+G43</f>
        <v>-20906</v>
      </c>
      <c r="I43" s="934"/>
      <c r="J43" s="918">
        <f>F43*$J$9</f>
        <v>-16064.086767206989</v>
      </c>
      <c r="K43" s="918">
        <f>F43*$K$9</f>
        <v>-4841.913232793012</v>
      </c>
      <c r="L43" s="918"/>
      <c r="M43" s="918">
        <f t="shared" si="13"/>
        <v>-16064.086767206989</v>
      </c>
      <c r="N43" s="918">
        <f t="shared" si="14"/>
        <v>-4841.913232793012</v>
      </c>
      <c r="O43" s="901"/>
    </row>
    <row r="44" spans="1:17" ht="15.5">
      <c r="A44" s="897" t="s">
        <v>1207</v>
      </c>
      <c r="B44" t="s">
        <v>1206</v>
      </c>
      <c r="C44" s="928">
        <v>-3403</v>
      </c>
      <c r="D44" s="928">
        <v>0</v>
      </c>
      <c r="E44" s="928">
        <v>0</v>
      </c>
      <c r="F44" s="928">
        <f>C44+E44</f>
        <v>-3403</v>
      </c>
      <c r="G44" s="928">
        <f>E44</f>
        <v>0</v>
      </c>
      <c r="H44" s="928">
        <f>F44+G44</f>
        <v>-3403</v>
      </c>
      <c r="I44" s="881"/>
      <c r="J44" s="900">
        <f>F44*$J$9</f>
        <v>-2614.8515865687068</v>
      </c>
      <c r="K44" s="900">
        <f>F44*$K$9</f>
        <v>-788.14841343129342</v>
      </c>
      <c r="L44" s="900"/>
      <c r="M44" s="900">
        <f>H44*$M$9</f>
        <v>-2614.8515865687068</v>
      </c>
      <c r="N44" s="900">
        <f>H44*$N$9</f>
        <v>-788.14841343129342</v>
      </c>
      <c r="O44" s="901"/>
    </row>
    <row r="45" spans="1:17" ht="15.5">
      <c r="A45" t="s">
        <v>1208</v>
      </c>
      <c r="B45" t="s">
        <v>1144</v>
      </c>
      <c r="C45" s="920">
        <v>-713584</v>
      </c>
      <c r="D45" s="920">
        <f>SUM(D42:D44)</f>
        <v>0</v>
      </c>
      <c r="E45" s="920">
        <f>SUM(E42:E44)</f>
        <v>0</v>
      </c>
      <c r="F45" s="920">
        <f>SUM(F42:F44)</f>
        <v>-713584</v>
      </c>
      <c r="G45" s="920">
        <f>SUM(G42:G44)</f>
        <v>0</v>
      </c>
      <c r="H45" s="920">
        <f>SUM(H42:H44)</f>
        <v>-713584</v>
      </c>
      <c r="I45" s="932"/>
      <c r="J45" s="933">
        <f>F45*$J$9</f>
        <v>-548315.09096386842</v>
      </c>
      <c r="K45" s="933">
        <f>F45*$K$9</f>
        <v>-165268.90903613166</v>
      </c>
      <c r="L45" s="932"/>
      <c r="M45" s="933">
        <f>H45*$M$9</f>
        <v>-548315.09096386842</v>
      </c>
      <c r="N45" s="933">
        <f>H45*$N$9</f>
        <v>-165268.90903613166</v>
      </c>
      <c r="O45" s="901"/>
    </row>
    <row r="46" spans="1:17" ht="15.5">
      <c r="A46" s="897"/>
      <c r="B46" s="897"/>
      <c r="C46">
        <f t="shared" ref="C46:H46" si="15">C45-C44-C43</f>
        <v>-689275</v>
      </c>
      <c r="D46" s="901">
        <f t="shared" si="15"/>
        <v>0</v>
      </c>
      <c r="E46" s="901">
        <f t="shared" si="15"/>
        <v>0</v>
      </c>
      <c r="F46" s="901">
        <f t="shared" si="15"/>
        <v>-689275</v>
      </c>
      <c r="G46" s="901">
        <f t="shared" si="15"/>
        <v>0</v>
      </c>
      <c r="H46" s="901">
        <f t="shared" si="15"/>
        <v>-689275</v>
      </c>
      <c r="J46" s="901">
        <f>J45-J44-J43</f>
        <v>-529636.15261009266</v>
      </c>
      <c r="K46" s="901">
        <f>K45-K44-K43</f>
        <v>-159638.84738990734</v>
      </c>
      <c r="L46" s="901"/>
      <c r="M46" s="901">
        <f>M45-M44-M43</f>
        <v>-529636.15261009266</v>
      </c>
      <c r="N46" s="901">
        <f>N45-N44-N43</f>
        <v>-159638.84738990734</v>
      </c>
      <c r="O46" s="901">
        <f>N46-K46</f>
        <v>0</v>
      </c>
    </row>
    <row r="47" spans="1:17" ht="15.5">
      <c r="A47" s="935"/>
      <c r="B47"/>
      <c r="C47"/>
      <c r="D47"/>
      <c r="E47"/>
      <c r="J47" s="901"/>
      <c r="K47" s="901"/>
      <c r="L47" s="901"/>
      <c r="M47" s="901"/>
      <c r="N47" s="901"/>
      <c r="O47" s="901"/>
    </row>
    <row r="48" spans="1:17" ht="16">
      <c r="A48" s="1011">
        <v>46279.38690972222</v>
      </c>
      <c r="B48" s="1005"/>
      <c r="C48" s="1005"/>
      <c r="D48" s="1005"/>
      <c r="E48" s="1005"/>
      <c r="J48" s="901"/>
      <c r="K48" s="901"/>
      <c r="L48" s="901"/>
      <c r="M48" s="901"/>
      <c r="N48" s="901"/>
      <c r="O48" s="901"/>
    </row>
    <row r="49" spans="1:15" ht="15.5">
      <c r="A49" s="1012" t="s">
        <v>1209</v>
      </c>
      <c r="B49" s="1005"/>
      <c r="C49" s="1005"/>
      <c r="D49" s="1005"/>
      <c r="E49" s="1005"/>
      <c r="J49" s="901"/>
      <c r="K49" s="901"/>
      <c r="L49" s="901"/>
      <c r="M49" s="901"/>
      <c r="N49" s="901"/>
      <c r="O49" s="901"/>
    </row>
    <row r="50" spans="1:15" ht="15.5">
      <c r="A50" s="1012" t="s">
        <v>1210</v>
      </c>
      <c r="B50" s="1005"/>
      <c r="C50" s="1005"/>
      <c r="D50" s="1005"/>
      <c r="E50" s="1005"/>
      <c r="J50" s="901"/>
      <c r="K50" s="901"/>
      <c r="L50" s="901"/>
      <c r="M50" s="901"/>
      <c r="N50" s="901"/>
      <c r="O50" s="901"/>
    </row>
    <row r="51" spans="1:15" ht="15.5">
      <c r="A51" s="1004" t="s">
        <v>1283</v>
      </c>
      <c r="B51" s="1005"/>
      <c r="C51" s="1005"/>
      <c r="D51" s="1005"/>
      <c r="E51" s="1005"/>
      <c r="J51" s="901"/>
      <c r="K51" s="901"/>
      <c r="L51" s="901"/>
      <c r="M51" s="901"/>
      <c r="N51" s="901"/>
      <c r="O51" s="901"/>
    </row>
    <row r="52" spans="1:15" ht="15.5">
      <c r="A52" t="s">
        <v>1144</v>
      </c>
      <c r="B52" t="s">
        <v>1144</v>
      </c>
      <c r="C52" t="s">
        <v>1144</v>
      </c>
      <c r="D52" t="s">
        <v>1144</v>
      </c>
      <c r="E52"/>
      <c r="J52" s="901"/>
      <c r="K52" s="901"/>
      <c r="L52" s="901"/>
      <c r="M52" s="901"/>
      <c r="N52" s="901"/>
      <c r="O52" s="901"/>
    </row>
    <row r="53" spans="1:15" ht="15.5">
      <c r="A53" t="s">
        <v>1144</v>
      </c>
      <c r="B53" s="936" t="s">
        <v>1144</v>
      </c>
      <c r="C53" s="937"/>
      <c r="D53" s="937"/>
      <c r="E53"/>
      <c r="J53" s="901"/>
      <c r="K53" s="901"/>
      <c r="L53" s="901"/>
      <c r="M53" s="901"/>
      <c r="N53" s="901"/>
      <c r="O53" s="901"/>
    </row>
    <row r="54" spans="1:15" ht="15.5">
      <c r="A54" t="s">
        <v>1144</v>
      </c>
      <c r="B54" s="937"/>
      <c r="C54" s="937" t="s">
        <v>1211</v>
      </c>
      <c r="D54" s="937" t="s">
        <v>1212</v>
      </c>
      <c r="E54"/>
      <c r="J54" s="901"/>
      <c r="K54" s="901"/>
      <c r="L54" s="901"/>
      <c r="M54" s="901"/>
      <c r="N54" s="901"/>
      <c r="O54" s="901"/>
    </row>
    <row r="55" spans="1:15" ht="15.5">
      <c r="A55" s="897"/>
      <c r="B55" t="s">
        <v>1213</v>
      </c>
      <c r="C55" t="s">
        <v>1214</v>
      </c>
      <c r="D55" t="s">
        <v>1215</v>
      </c>
      <c r="E55"/>
      <c r="J55" s="901"/>
      <c r="K55" s="901"/>
      <c r="L55" s="901"/>
      <c r="M55" s="901"/>
      <c r="N55" s="901"/>
      <c r="O55" s="901"/>
    </row>
    <row r="56" spans="1:15" ht="15.5">
      <c r="A56" s="924" t="s">
        <v>1216</v>
      </c>
      <c r="B56" s="938"/>
      <c r="C56" s="938"/>
      <c r="D56" s="938"/>
      <c r="E56"/>
      <c r="J56" s="901"/>
      <c r="K56" s="901"/>
      <c r="L56" s="901"/>
      <c r="M56" s="901"/>
      <c r="N56" s="901"/>
      <c r="O56" s="901"/>
    </row>
    <row r="57" spans="1:15" ht="15.5">
      <c r="A57" s="897" t="s">
        <v>1217</v>
      </c>
      <c r="B57" s="923">
        <v>4624627</v>
      </c>
      <c r="C57" s="923">
        <v>4638570</v>
      </c>
      <c r="D57" s="923">
        <v>-13943</v>
      </c>
      <c r="E57"/>
      <c r="J57" s="901"/>
      <c r="K57" s="901"/>
      <c r="L57" s="901"/>
      <c r="M57" s="901"/>
      <c r="N57" s="901"/>
      <c r="O57" s="901"/>
    </row>
    <row r="58" spans="1:15" ht="15.5">
      <c r="A58" t="s">
        <v>1218</v>
      </c>
      <c r="B58">
        <v>4624627</v>
      </c>
      <c r="C58">
        <v>4638570</v>
      </c>
      <c r="D58">
        <v>-13943</v>
      </c>
      <c r="E58"/>
      <c r="J58" s="901"/>
      <c r="K58" s="901"/>
      <c r="L58" s="901"/>
      <c r="M58" s="901"/>
      <c r="N58" s="901"/>
      <c r="O58" s="901"/>
    </row>
    <row r="59" spans="1:15" ht="15.5">
      <c r="A59" s="897"/>
      <c r="B59" t="s">
        <v>1144</v>
      </c>
      <c r="C59" t="s">
        <v>1144</v>
      </c>
      <c r="D59" t="s">
        <v>1144</v>
      </c>
      <c r="E59"/>
      <c r="J59" s="901"/>
      <c r="K59" s="901"/>
      <c r="L59" s="901"/>
      <c r="M59" s="901"/>
      <c r="N59" s="901"/>
      <c r="O59" s="901"/>
    </row>
    <row r="60" spans="1:15" ht="15.5">
      <c r="A60" s="924" t="s">
        <v>1219</v>
      </c>
      <c r="B60" s="923"/>
      <c r="C60" s="923"/>
      <c r="D60" s="923"/>
      <c r="E60"/>
      <c r="J60" s="901"/>
      <c r="K60" s="901"/>
      <c r="L60" s="901"/>
      <c r="M60" s="901"/>
      <c r="N60" s="901"/>
      <c r="O60" s="901"/>
    </row>
    <row r="61" spans="1:15" ht="15.5">
      <c r="A61" s="924" t="s">
        <v>1220</v>
      </c>
      <c r="B61" s="923">
        <v>3794</v>
      </c>
      <c r="C61" s="923">
        <v>3791</v>
      </c>
      <c r="D61" s="923">
        <v>3</v>
      </c>
      <c r="E61"/>
      <c r="J61" s="901"/>
      <c r="K61" s="901"/>
      <c r="L61" s="901"/>
      <c r="M61" s="901"/>
      <c r="N61" s="901"/>
      <c r="O61" s="901"/>
    </row>
    <row r="62" spans="1:15" ht="15.5">
      <c r="A62" s="924" t="s">
        <v>1221</v>
      </c>
      <c r="B62" s="938">
        <v>88972</v>
      </c>
      <c r="C62" s="938">
        <v>88910</v>
      </c>
      <c r="D62" s="938">
        <v>62</v>
      </c>
      <c r="E62"/>
      <c r="J62" s="901"/>
      <c r="K62" s="901"/>
      <c r="L62" s="901"/>
      <c r="M62" s="901"/>
      <c r="N62" s="901"/>
      <c r="O62" s="901"/>
    </row>
    <row r="63" spans="1:15" ht="15.5">
      <c r="A63" s="897" t="s">
        <v>1222</v>
      </c>
      <c r="B63" s="923">
        <v>-92766</v>
      </c>
      <c r="C63" s="923">
        <v>-92701</v>
      </c>
      <c r="D63" s="923">
        <v>-65</v>
      </c>
      <c r="E63"/>
      <c r="J63" s="901"/>
      <c r="K63" s="901"/>
      <c r="L63" s="901"/>
      <c r="M63" s="901"/>
      <c r="N63" s="901"/>
      <c r="O63" s="901"/>
    </row>
    <row r="64" spans="1:15" ht="15.5">
      <c r="A64" t="s">
        <v>1144</v>
      </c>
      <c r="B64" t="s">
        <v>1144</v>
      </c>
      <c r="C64" t="s">
        <v>1144</v>
      </c>
      <c r="D64" t="s">
        <v>1144</v>
      </c>
      <c r="E64"/>
      <c r="J64" s="901"/>
      <c r="K64" s="901"/>
      <c r="L64" s="901"/>
      <c r="M64" s="901"/>
      <c r="N64" s="901"/>
      <c r="O64" s="901"/>
    </row>
    <row r="65" spans="1:15" ht="15.5">
      <c r="A65" s="897" t="s">
        <v>1223</v>
      </c>
      <c r="B65" t="s">
        <v>1144</v>
      </c>
      <c r="C65" t="s">
        <v>1144</v>
      </c>
      <c r="D65" t="s">
        <v>1144</v>
      </c>
      <c r="E65"/>
      <c r="F65" s="939" t="s">
        <v>1224</v>
      </c>
      <c r="G65" s="939" t="s">
        <v>1225</v>
      </c>
      <c r="J65" s="901" t="s">
        <v>1146</v>
      </c>
      <c r="K65" s="901" t="s">
        <v>1147</v>
      </c>
      <c r="L65" s="901"/>
      <c r="M65" s="901"/>
      <c r="N65" s="901"/>
      <c r="O65" s="901"/>
    </row>
    <row r="66" spans="1:15" ht="15.5">
      <c r="A66" s="924" t="s">
        <v>1226</v>
      </c>
      <c r="B66" s="923">
        <v>4637</v>
      </c>
      <c r="C66" s="923">
        <v>4637</v>
      </c>
      <c r="D66" s="923">
        <v>0</v>
      </c>
      <c r="E66"/>
      <c r="F66" s="940">
        <f>B66/8*12</f>
        <v>6955.5</v>
      </c>
      <c r="G66" s="940">
        <f>$F66*$R$11</f>
        <v>1680.4488000000001</v>
      </c>
      <c r="J66" s="901">
        <f>$G66*$J$9</f>
        <v>1291.2501354180076</v>
      </c>
      <c r="K66" s="901">
        <f>$K$9*G66</f>
        <v>389.19866458199266</v>
      </c>
      <c r="L66" s="901"/>
      <c r="M66" s="901"/>
      <c r="N66" s="901"/>
      <c r="O66" s="901"/>
    </row>
    <row r="67" spans="1:15" ht="15.5">
      <c r="A67" s="924" t="s">
        <v>1284</v>
      </c>
      <c r="B67" s="923">
        <v>3</v>
      </c>
      <c r="C67" s="923">
        <v>3</v>
      </c>
      <c r="D67" s="923">
        <v>0</v>
      </c>
      <c r="E67"/>
      <c r="F67" s="940">
        <f>B67/8*12</f>
        <v>4.5</v>
      </c>
      <c r="G67" s="940">
        <f>$F67*$R$11</f>
        <v>1.0871999999999999</v>
      </c>
      <c r="J67" s="901">
        <f>$G67*$J$9</f>
        <v>0.83540013074272634</v>
      </c>
      <c r="K67" s="901">
        <f>$K$9*G67</f>
        <v>0.2517998692572736</v>
      </c>
    </row>
    <row r="68" spans="1:15" ht="15.5">
      <c r="A68" s="924" t="s">
        <v>1285</v>
      </c>
      <c r="B68" s="938">
        <v>11752</v>
      </c>
      <c r="C68" s="938">
        <v>11752</v>
      </c>
      <c r="D68" s="938">
        <v>0</v>
      </c>
      <c r="E68"/>
      <c r="F68" s="941">
        <f t="shared" ref="F68:F69" si="16">B68/8*12</f>
        <v>17628</v>
      </c>
      <c r="G68" s="941">
        <f>$F68*$R$11</f>
        <v>4258.9247999999998</v>
      </c>
      <c r="J68" s="919">
        <f>$G68*$J$9</f>
        <v>3272.540778829507</v>
      </c>
      <c r="K68" s="919">
        <f>$K$9*G68</f>
        <v>986.38402117049327</v>
      </c>
    </row>
    <row r="69" spans="1:15" ht="15.5">
      <c r="A69" s="897" t="s">
        <v>1227</v>
      </c>
      <c r="B69" s="923">
        <v>16392</v>
      </c>
      <c r="C69" s="923">
        <v>16392</v>
      </c>
      <c r="D69" s="923">
        <v>0</v>
      </c>
      <c r="E69"/>
      <c r="F69" s="940">
        <f t="shared" si="16"/>
        <v>24588</v>
      </c>
      <c r="G69" s="940">
        <f>$F69*$R$11</f>
        <v>5940.4607999999998</v>
      </c>
      <c r="J69" s="901">
        <f>SUM(J66:J68)</f>
        <v>4564.6263143782571</v>
      </c>
      <c r="K69" s="901">
        <f>SUM(K66:K68)</f>
        <v>1375.8344856217432</v>
      </c>
    </row>
    <row r="70" spans="1:15" ht="15.5">
      <c r="A70" t="s">
        <v>1144</v>
      </c>
      <c r="B70" t="s">
        <v>1144</v>
      </c>
      <c r="C70" t="s">
        <v>1144</v>
      </c>
      <c r="D70" t="s">
        <v>1144</v>
      </c>
      <c r="E70"/>
    </row>
    <row r="71" spans="1:15" ht="15.5">
      <c r="A71" s="897" t="s">
        <v>1228</v>
      </c>
      <c r="B71" s="942">
        <v>4548252</v>
      </c>
      <c r="C71" s="942">
        <v>4562260</v>
      </c>
      <c r="D71" s="942">
        <v>-14008</v>
      </c>
      <c r="E71"/>
    </row>
    <row r="72" spans="1:15" ht="15.5">
      <c r="A72" t="s">
        <v>1144</v>
      </c>
      <c r="B72" t="s">
        <v>1144</v>
      </c>
      <c r="C72" t="s">
        <v>1144</v>
      </c>
      <c r="D72" t="s">
        <v>1144</v>
      </c>
      <c r="E72"/>
    </row>
    <row r="73" spans="1:15" ht="15.5">
      <c r="A73" s="897" t="s">
        <v>1229</v>
      </c>
      <c r="B73" t="s">
        <v>1144</v>
      </c>
      <c r="C73" t="s">
        <v>1144</v>
      </c>
      <c r="D73" t="s">
        <v>1144</v>
      </c>
      <c r="E73"/>
    </row>
    <row r="74" spans="1:15" ht="15.5">
      <c r="A74" s="924" t="s">
        <v>1230</v>
      </c>
      <c r="B74" s="923">
        <v>-4253443</v>
      </c>
      <c r="C74" s="923">
        <v>-4253443</v>
      </c>
      <c r="D74" s="923">
        <v>0</v>
      </c>
      <c r="E74"/>
    </row>
    <row r="75" spans="1:15" ht="15.5">
      <c r="A75" s="924" t="s">
        <v>1231</v>
      </c>
      <c r="B75" s="923">
        <v>1852884</v>
      </c>
      <c r="C75" s="923">
        <v>1852884</v>
      </c>
      <c r="D75" s="923">
        <v>0</v>
      </c>
      <c r="E75"/>
    </row>
    <row r="76" spans="1:15" ht="15.5">
      <c r="A76" s="924" t="s">
        <v>1232</v>
      </c>
      <c r="B76" s="923">
        <v>-4637</v>
      </c>
      <c r="C76" s="923">
        <v>-4637</v>
      </c>
      <c r="D76" s="923">
        <v>0</v>
      </c>
      <c r="E76"/>
    </row>
    <row r="77" spans="1:15" ht="15.5">
      <c r="A77" s="924" t="s">
        <v>1233</v>
      </c>
      <c r="B77" s="923">
        <v>15567</v>
      </c>
      <c r="C77" s="923">
        <v>0</v>
      </c>
      <c r="D77" s="923">
        <v>15567</v>
      </c>
      <c r="E77"/>
    </row>
    <row r="78" spans="1:15" ht="15.5">
      <c r="A78" s="924" t="s">
        <v>1234</v>
      </c>
      <c r="B78" s="923">
        <v>17264</v>
      </c>
      <c r="C78" s="923">
        <v>17264</v>
      </c>
      <c r="D78" s="923">
        <v>0</v>
      </c>
      <c r="E78"/>
    </row>
    <row r="79" spans="1:15" ht="15.5">
      <c r="A79" s="924" t="s">
        <v>1235</v>
      </c>
      <c r="B79" s="923">
        <v>71131</v>
      </c>
      <c r="C79" s="923">
        <v>71131</v>
      </c>
      <c r="D79" s="923">
        <v>0</v>
      </c>
      <c r="E79"/>
    </row>
    <row r="80" spans="1:15" ht="15.5">
      <c r="A80" s="924" t="s">
        <v>1236</v>
      </c>
      <c r="B80" s="923">
        <v>-167597</v>
      </c>
      <c r="C80" s="923">
        <v>-167597</v>
      </c>
      <c r="D80" s="923">
        <v>0</v>
      </c>
      <c r="E80"/>
    </row>
    <row r="81" spans="1:5" ht="15.5">
      <c r="A81" s="924" t="s">
        <v>1237</v>
      </c>
      <c r="B81" s="923">
        <v>-6225</v>
      </c>
      <c r="C81" s="923">
        <v>-6225</v>
      </c>
      <c r="D81" s="923">
        <v>0</v>
      </c>
      <c r="E81"/>
    </row>
    <row r="82" spans="1:5" ht="15.5">
      <c r="A82" s="924" t="s">
        <v>1238</v>
      </c>
      <c r="B82" s="923">
        <v>20111</v>
      </c>
      <c r="C82" s="923">
        <v>20111</v>
      </c>
      <c r="D82" s="923">
        <v>0</v>
      </c>
      <c r="E82"/>
    </row>
    <row r="83" spans="1:5" ht="15.5">
      <c r="A83" s="924" t="s">
        <v>1239</v>
      </c>
      <c r="B83" s="938">
        <v>-2454945</v>
      </c>
      <c r="C83" s="938">
        <v>-2470512</v>
      </c>
      <c r="D83" s="938">
        <v>15567</v>
      </c>
      <c r="E83"/>
    </row>
    <row r="84" spans="1:5" ht="15.5">
      <c r="A84" s="897"/>
      <c r="B84" s="923"/>
      <c r="C84" s="923"/>
      <c r="D84" s="923"/>
      <c r="E84"/>
    </row>
    <row r="85" spans="1:5" ht="15.5">
      <c r="A85" t="s">
        <v>1240</v>
      </c>
      <c r="B85">
        <v>2093309</v>
      </c>
      <c r="C85">
        <v>2091749</v>
      </c>
      <c r="D85">
        <v>1560</v>
      </c>
      <c r="E85"/>
    </row>
    <row r="86" spans="1:5" ht="15.5">
      <c r="A86" s="897"/>
      <c r="B86" s="942"/>
      <c r="C86" s="942"/>
      <c r="D86" s="942"/>
      <c r="E86"/>
    </row>
    <row r="87" spans="1:5" ht="15.5">
      <c r="A87" t="s">
        <v>1241</v>
      </c>
      <c r="B87">
        <v>0</v>
      </c>
      <c r="C87">
        <v>0</v>
      </c>
      <c r="D87">
        <v>0</v>
      </c>
      <c r="E87"/>
    </row>
    <row r="88" spans="1:5" ht="15.5">
      <c r="A88" s="897"/>
      <c r="B88" s="923"/>
      <c r="C88" s="923"/>
      <c r="D88" s="923"/>
      <c r="E88"/>
    </row>
    <row r="89" spans="1:5" ht="15.5">
      <c r="A89" t="s">
        <v>1242</v>
      </c>
      <c r="B89">
        <v>2093309</v>
      </c>
      <c r="C89">
        <v>2091749</v>
      </c>
      <c r="D89">
        <v>1560</v>
      </c>
      <c r="E89"/>
    </row>
    <row r="90" spans="1:5" ht="16" thickBot="1">
      <c r="A90" s="897"/>
      <c r="B90" s="943"/>
      <c r="C90" s="943"/>
      <c r="D90" s="943"/>
      <c r="E90"/>
    </row>
    <row r="91" spans="1:5" ht="16" thickTop="1">
      <c r="A91" t="s">
        <v>1243</v>
      </c>
      <c r="B91" t="s">
        <v>1244</v>
      </c>
      <c r="C91">
        <v>0.21</v>
      </c>
      <c r="D91">
        <v>0.21</v>
      </c>
      <c r="E91"/>
    </row>
    <row r="92" spans="1:5" ht="15.5">
      <c r="A92" s="944"/>
      <c r="B92" s="945"/>
      <c r="C92" s="946"/>
      <c r="D92" s="946"/>
      <c r="E92"/>
    </row>
    <row r="93" spans="1:5" ht="15.5">
      <c r="A93" t="s">
        <v>1245</v>
      </c>
      <c r="B93">
        <v>439595</v>
      </c>
      <c r="C93">
        <v>439267</v>
      </c>
      <c r="D93">
        <v>328</v>
      </c>
      <c r="E93"/>
    </row>
    <row r="94" spans="1:5" ht="15.5">
      <c r="A94" s="897"/>
      <c r="B94" s="923"/>
      <c r="C94" s="923"/>
      <c r="D94" s="923"/>
      <c r="E94"/>
    </row>
    <row r="95" spans="1:5" ht="15.5">
      <c r="A95" t="s">
        <v>1246</v>
      </c>
      <c r="B95" t="s">
        <v>1144</v>
      </c>
      <c r="C95" t="s">
        <v>1144</v>
      </c>
      <c r="D95" t="s">
        <v>1144</v>
      </c>
      <c r="E95"/>
    </row>
    <row r="96" spans="1:5" ht="15.5">
      <c r="A96" s="897" t="s">
        <v>1247</v>
      </c>
      <c r="B96">
        <v>0</v>
      </c>
      <c r="C96">
        <v>0</v>
      </c>
      <c r="D96">
        <v>0</v>
      </c>
      <c r="E96"/>
    </row>
    <row r="97" spans="1:5" ht="15.5">
      <c r="A97" s="897"/>
      <c r="B97" s="923"/>
      <c r="C97" s="923"/>
      <c r="D97" s="923"/>
      <c r="E97"/>
    </row>
    <row r="98" spans="1:5" ht="15.5">
      <c r="A98" t="s">
        <v>1248</v>
      </c>
      <c r="B98">
        <v>0</v>
      </c>
      <c r="C98">
        <v>0</v>
      </c>
      <c r="D98">
        <v>0</v>
      </c>
      <c r="E98"/>
    </row>
    <row r="99" spans="1:5" ht="15.5">
      <c r="A99" s="897"/>
      <c r="B99" s="923"/>
      <c r="C99" s="923"/>
      <c r="D99" s="923"/>
      <c r="E99"/>
    </row>
    <row r="100" spans="1:5" ht="15.5">
      <c r="A100" t="s">
        <v>1249</v>
      </c>
      <c r="B100">
        <v>439594</v>
      </c>
      <c r="C100">
        <v>439267</v>
      </c>
      <c r="D100">
        <v>327</v>
      </c>
      <c r="E100"/>
    </row>
    <row r="101" spans="1:5" ht="15.5">
      <c r="A101" s="897"/>
      <c r="B101" s="942"/>
      <c r="C101" s="942"/>
      <c r="D101" s="942"/>
      <c r="E101"/>
    </row>
    <row r="102" spans="1:5" ht="15.5">
      <c r="A102" t="s">
        <v>1250</v>
      </c>
      <c r="B102" t="s">
        <v>1144</v>
      </c>
      <c r="C102" t="s">
        <v>1144</v>
      </c>
      <c r="D102" t="s">
        <v>1144</v>
      </c>
      <c r="E102"/>
    </row>
    <row r="103" spans="1:5" ht="15.5">
      <c r="A103" s="897" t="s">
        <v>1251</v>
      </c>
      <c r="B103">
        <v>0</v>
      </c>
      <c r="C103">
        <v>0</v>
      </c>
      <c r="D103">
        <v>0</v>
      </c>
      <c r="E103"/>
    </row>
    <row r="104" spans="1:5" ht="15.5">
      <c r="A104" s="924" t="s">
        <v>1252</v>
      </c>
      <c r="B104" s="938">
        <v>0</v>
      </c>
      <c r="C104" s="938">
        <v>0</v>
      </c>
      <c r="D104" s="938">
        <v>0</v>
      </c>
      <c r="E104"/>
    </row>
    <row r="105" spans="1:5" ht="15.5">
      <c r="A105" s="897"/>
      <c r="B105" s="923"/>
      <c r="C105" s="923"/>
      <c r="D105" s="923"/>
      <c r="E105"/>
    </row>
    <row r="106" spans="1:5" ht="15.5">
      <c r="A106" t="s">
        <v>1253</v>
      </c>
      <c r="B106" t="s">
        <v>1144</v>
      </c>
      <c r="C106" t="s">
        <v>1144</v>
      </c>
      <c r="D106" t="s">
        <v>1144</v>
      </c>
      <c r="E106"/>
    </row>
    <row r="107" spans="1:5" ht="15.5">
      <c r="A107" s="897" t="s">
        <v>1286</v>
      </c>
      <c r="B107">
        <v>-13</v>
      </c>
      <c r="C107">
        <v>-13</v>
      </c>
      <c r="D107">
        <v>0</v>
      </c>
      <c r="E107"/>
    </row>
    <row r="108" spans="1:5" ht="15.5">
      <c r="A108" s="924" t="s">
        <v>1287</v>
      </c>
      <c r="B108" s="923">
        <v>27962</v>
      </c>
      <c r="C108" s="923">
        <v>27962</v>
      </c>
      <c r="D108" s="923">
        <v>0</v>
      </c>
      <c r="E108"/>
    </row>
    <row r="109" spans="1:5" ht="15.5">
      <c r="A109" s="924" t="s">
        <v>1254</v>
      </c>
      <c r="B109" s="938">
        <v>27949</v>
      </c>
      <c r="C109" s="938">
        <v>27949</v>
      </c>
      <c r="D109" s="938">
        <v>0</v>
      </c>
      <c r="E109"/>
    </row>
    <row r="110" spans="1:5" ht="15.5">
      <c r="A110" s="897"/>
      <c r="B110" s="923"/>
      <c r="C110" s="923"/>
      <c r="D110" s="923"/>
      <c r="E110"/>
    </row>
    <row r="111" spans="1:5" ht="15.5">
      <c r="A111" t="s">
        <v>1255</v>
      </c>
      <c r="B111">
        <v>467542</v>
      </c>
      <c r="C111">
        <v>467215</v>
      </c>
      <c r="D111">
        <v>327</v>
      </c>
      <c r="E111"/>
    </row>
    <row r="112" spans="1:5" ht="16" thickBot="1">
      <c r="A112" s="897"/>
      <c r="B112" s="947"/>
      <c r="C112" s="947"/>
      <c r="D112" s="947"/>
      <c r="E112"/>
    </row>
    <row r="113" spans="1:5" ht="15.5">
      <c r="A113" t="s">
        <v>1256</v>
      </c>
      <c r="B113" t="s">
        <v>1144</v>
      </c>
      <c r="C113" t="s">
        <v>1144</v>
      </c>
      <c r="D113" t="s">
        <v>1144</v>
      </c>
      <c r="E113"/>
    </row>
    <row r="114" spans="1:5" ht="15.5">
      <c r="A114" s="897" t="s">
        <v>1257</v>
      </c>
      <c r="B114">
        <v>-6010190</v>
      </c>
      <c r="C114">
        <v>-6046280</v>
      </c>
      <c r="D114">
        <v>36090</v>
      </c>
      <c r="E114"/>
    </row>
    <row r="115" spans="1:5" ht="15.5">
      <c r="A115" s="924" t="s">
        <v>1258</v>
      </c>
      <c r="B115" s="923">
        <v>931</v>
      </c>
      <c r="C115" s="923">
        <v>931</v>
      </c>
      <c r="D115" s="923">
        <v>0</v>
      </c>
      <c r="E115"/>
    </row>
    <row r="116" spans="1:5" ht="15.5">
      <c r="A116" s="924" t="s">
        <v>1259</v>
      </c>
      <c r="B116" s="923">
        <v>6477332</v>
      </c>
      <c r="C116" s="923">
        <v>6516561</v>
      </c>
      <c r="D116" s="923">
        <v>-39229</v>
      </c>
      <c r="E116"/>
    </row>
    <row r="117" spans="1:5" ht="15.5">
      <c r="A117" s="924" t="s">
        <v>1260</v>
      </c>
      <c r="B117" s="938">
        <v>468073</v>
      </c>
      <c r="C117" s="938">
        <v>471212</v>
      </c>
      <c r="D117" s="938">
        <v>-3139</v>
      </c>
      <c r="E117"/>
    </row>
    <row r="118" spans="1:5" ht="16" thickBot="1">
      <c r="A118" s="897"/>
      <c r="B118" s="948"/>
      <c r="C118" s="948"/>
      <c r="D118" s="948"/>
      <c r="E118"/>
    </row>
    <row r="119" spans="1:5" ht="15.5">
      <c r="A119" t="s">
        <v>1261</v>
      </c>
      <c r="B119">
        <v>0</v>
      </c>
      <c r="C119">
        <v>0</v>
      </c>
      <c r="D119">
        <v>0</v>
      </c>
      <c r="E119"/>
    </row>
    <row r="120" spans="1:5" ht="15.5">
      <c r="A120" s="897"/>
      <c r="B120" s="923"/>
      <c r="C120" s="923"/>
      <c r="D120" s="923"/>
      <c r="E120"/>
    </row>
    <row r="121" spans="1:5" ht="15.5">
      <c r="A121" t="s">
        <v>1262</v>
      </c>
      <c r="B121">
        <v>935617</v>
      </c>
      <c r="C121">
        <v>938428</v>
      </c>
      <c r="D121">
        <v>-2811</v>
      </c>
      <c r="E121"/>
    </row>
    <row r="122" spans="1:5" ht="16" thickBot="1">
      <c r="A122" s="897"/>
      <c r="B122" s="947"/>
      <c r="C122" s="947"/>
      <c r="D122" s="947"/>
      <c r="E122"/>
    </row>
    <row r="123" spans="1:5" ht="15.5">
      <c r="A123" t="s">
        <v>1263</v>
      </c>
      <c r="B123" t="s">
        <v>1144</v>
      </c>
      <c r="C123" t="s">
        <v>1144</v>
      </c>
      <c r="D123" t="s">
        <v>1144</v>
      </c>
      <c r="E123"/>
    </row>
    <row r="124" spans="1:5" ht="15.5">
      <c r="A124" s="897" t="s">
        <v>1264</v>
      </c>
      <c r="B124">
        <v>92766</v>
      </c>
      <c r="C124">
        <v>92701</v>
      </c>
      <c r="D124">
        <v>65</v>
      </c>
      <c r="E124"/>
    </row>
    <row r="125" spans="1:5" ht="15.5">
      <c r="A125" s="924" t="s">
        <v>1265</v>
      </c>
      <c r="B125" s="923">
        <v>92871</v>
      </c>
      <c r="C125" s="923">
        <v>93494</v>
      </c>
      <c r="D125" s="923">
        <v>-623</v>
      </c>
      <c r="E125"/>
    </row>
    <row r="126" spans="1:5" ht="15.5">
      <c r="A126" s="924" t="s">
        <v>1266</v>
      </c>
      <c r="B126" s="938">
        <v>185637</v>
      </c>
      <c r="C126" s="938">
        <v>186195</v>
      </c>
      <c r="D126" s="938">
        <v>-558</v>
      </c>
      <c r="E126"/>
    </row>
    <row r="127" spans="1:5" ht="15.5">
      <c r="A127" s="897"/>
      <c r="B127" s="923"/>
      <c r="C127" s="923"/>
      <c r="D127" s="923"/>
      <c r="E127"/>
    </row>
    <row r="128" spans="1:5" ht="15.5">
      <c r="A128" t="s">
        <v>1267</v>
      </c>
      <c r="B128">
        <v>1121255</v>
      </c>
      <c r="C128">
        <v>1124624</v>
      </c>
      <c r="D128">
        <v>-3369</v>
      </c>
      <c r="E128"/>
    </row>
    <row r="129" spans="1:5" ht="16" thickBot="1">
      <c r="A129" s="944"/>
      <c r="B129" s="943"/>
      <c r="C129" s="943"/>
      <c r="D129" s="943"/>
      <c r="E129"/>
    </row>
    <row r="130" spans="1:5" ht="16" thickTop="1">
      <c r="A130" t="s">
        <v>1268</v>
      </c>
      <c r="B130">
        <v>0.242453</v>
      </c>
      <c r="C130">
        <v>0.242451</v>
      </c>
      <c r="D130">
        <v>0.24162700000000001</v>
      </c>
      <c r="E130"/>
    </row>
    <row r="131" spans="1:5" ht="15.5">
      <c r="A131" s="944"/>
      <c r="B131" s="946"/>
      <c r="C131" s="946"/>
      <c r="D131" s="946"/>
      <c r="E131"/>
    </row>
  </sheetData>
  <mergeCells count="8">
    <mergeCell ref="A51:E51"/>
    <mergeCell ref="C6:H6"/>
    <mergeCell ref="C7:H7"/>
    <mergeCell ref="J11:K11"/>
    <mergeCell ref="M11:N11"/>
    <mergeCell ref="A48:E48"/>
    <mergeCell ref="A49:E49"/>
    <mergeCell ref="A50:E50"/>
  </mergeCells>
  <printOptions horizontalCentered="1"/>
  <pageMargins left="0.7" right="0.7" top="0.75" bottom="0.75" header="0.3" footer="0.3"/>
  <pageSetup scale="40" fitToHeight="0" orientation="landscape" r:id="rId1"/>
  <customProperties>
    <customPr name="_pios_id" r:id="rId2"/>
  </customProperties>
  <drawing r:id="rId3"/>
  <legacy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6FB91-DAC3-4A5B-984E-A5DBAB0761CA}">
  <sheetPr>
    <tabColor rgb="FFFFC000"/>
  </sheetPr>
  <dimension ref="A1:E7"/>
  <sheetViews>
    <sheetView workbookViewId="0">
      <selection activeCell="K18" sqref="K18"/>
    </sheetView>
  </sheetViews>
  <sheetFormatPr defaultColWidth="9.23046875" defaultRowHeight="15.5"/>
  <cols>
    <col min="2" max="2" width="15.69140625" style="920" bestFit="1" customWidth="1"/>
    <col min="4" max="4" width="11.765625" bestFit="1" customWidth="1"/>
    <col min="5" max="5" width="14.07421875" bestFit="1" customWidth="1"/>
  </cols>
  <sheetData>
    <row r="1" spans="1:5">
      <c r="A1" t="s">
        <v>1269</v>
      </c>
    </row>
    <row r="2" spans="1:5">
      <c r="A2" t="s">
        <v>1270</v>
      </c>
    </row>
    <row r="4" spans="1:5">
      <c r="D4" s="368" t="s">
        <v>1271</v>
      </c>
      <c r="E4" s="368" t="s">
        <v>1272</v>
      </c>
    </row>
    <row r="5" spans="1:5">
      <c r="B5" s="920">
        <v>-87798</v>
      </c>
      <c r="D5" s="949">
        <f>'GLHP Taxes'!N9</f>
        <v>0.23160400042059753</v>
      </c>
      <c r="E5" s="949">
        <f>'GLHP Taxes'!M9</f>
        <v>0.76839599957940252</v>
      </c>
    </row>
    <row r="6" spans="1:5">
      <c r="A6" t="s">
        <v>1273</v>
      </c>
      <c r="B6" s="920">
        <v>50</v>
      </c>
    </row>
    <row r="7" spans="1:5">
      <c r="B7" s="950">
        <f>B5/B6</f>
        <v>-1755.96</v>
      </c>
      <c r="D7" s="920">
        <f>B7*D5</f>
        <v>-406.68736057855244</v>
      </c>
      <c r="E7" s="920">
        <f>B7*E5</f>
        <v>-1349.2726394214476</v>
      </c>
    </row>
  </sheetData>
  <pageMargins left="0.7" right="0.7" top="0.75" bottom="0.75" header="0.3" footer="0.3"/>
  <pageSetup paperSize="0" orientation="portrait" r:id="rId1"/>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92D050"/>
    <pageSetUpPr fitToPage="1"/>
  </sheetPr>
  <dimension ref="A1:U282"/>
  <sheetViews>
    <sheetView topLeftCell="A49" workbookViewId="0"/>
  </sheetViews>
  <sheetFormatPr defaultColWidth="8.84375" defaultRowHeight="13"/>
  <cols>
    <col min="1" max="1" width="6" style="24" customWidth="1"/>
    <col min="2" max="2" width="1.4609375" style="24" customWidth="1"/>
    <col min="3" max="3" width="36" style="24" customWidth="1"/>
    <col min="4" max="4" width="13.765625" style="24" customWidth="1"/>
    <col min="5" max="5" width="17.53515625" style="24" customWidth="1"/>
    <col min="6" max="6" width="13.07421875" style="24" customWidth="1"/>
    <col min="7" max="7" width="14.4609375" style="24" customWidth="1"/>
    <col min="8" max="8" width="16.3046875" style="24" customWidth="1"/>
    <col min="9" max="9" width="13.765625" style="24" customWidth="1"/>
    <col min="10" max="10" width="14.4609375" style="24" customWidth="1"/>
    <col min="11" max="11" width="13.53515625" style="24" customWidth="1"/>
    <col min="12" max="12" width="15.765625" style="24" customWidth="1"/>
    <col min="13" max="13" width="19.23046875" style="24" customWidth="1"/>
    <col min="14" max="15" width="14.4609375" style="24" customWidth="1"/>
    <col min="16" max="16" width="12.765625" style="24" customWidth="1"/>
    <col min="17" max="17" width="13.84375" style="24" customWidth="1"/>
    <col min="18" max="18" width="9.3046875" style="24" customWidth="1"/>
    <col min="19" max="19" width="13" style="24" customWidth="1"/>
    <col min="20" max="16384" width="8.84375" style="24"/>
  </cols>
  <sheetData>
    <row r="1" spans="1:21">
      <c r="Q1" s="52"/>
    </row>
    <row r="2" spans="1:21">
      <c r="M2" s="24" t="s">
        <v>790</v>
      </c>
      <c r="Q2" s="52"/>
    </row>
    <row r="4" spans="1:21">
      <c r="Q4" s="52"/>
    </row>
    <row r="5" spans="1:21">
      <c r="D5" s="19"/>
      <c r="E5" s="19"/>
      <c r="F5" s="19"/>
      <c r="G5" s="20" t="s">
        <v>786</v>
      </c>
      <c r="H5" s="19"/>
      <c r="I5" s="19"/>
      <c r="J5" s="19"/>
      <c r="K5" s="19"/>
      <c r="L5" s="41"/>
      <c r="M5" s="53"/>
      <c r="N5" s="53"/>
      <c r="O5" s="53"/>
      <c r="P5" s="53"/>
      <c r="Q5" s="53"/>
      <c r="R5" s="25"/>
      <c r="S5" s="54"/>
      <c r="T5" s="54"/>
      <c r="U5" s="25"/>
    </row>
    <row r="6" spans="1:21">
      <c r="D6" s="19"/>
      <c r="E6" s="22" t="s">
        <v>10</v>
      </c>
      <c r="F6" s="22"/>
      <c r="G6" s="20" t="s">
        <v>787</v>
      </c>
      <c r="H6" s="22"/>
      <c r="I6" s="22"/>
      <c r="J6" s="22"/>
      <c r="K6" s="19"/>
      <c r="P6" s="25"/>
      <c r="Q6" s="19"/>
      <c r="R6" s="25"/>
      <c r="S6" s="55"/>
      <c r="T6" s="54"/>
      <c r="U6" s="25"/>
    </row>
    <row r="7" spans="1:21">
      <c r="C7" s="25"/>
      <c r="D7" s="25"/>
      <c r="E7" s="25"/>
      <c r="F7" s="25"/>
      <c r="G7" s="139" t="str">
        <f>+'Attachment H'!D5</f>
        <v>Gridliance High Plains LLC</v>
      </c>
      <c r="H7" s="25"/>
      <c r="I7" s="25"/>
      <c r="J7" s="25"/>
      <c r="K7" s="25"/>
      <c r="P7" s="25"/>
      <c r="Q7" s="25"/>
      <c r="R7" s="25"/>
      <c r="S7" s="54"/>
      <c r="T7" s="54"/>
      <c r="U7" s="25"/>
    </row>
    <row r="8" spans="1:21">
      <c r="A8" s="20"/>
      <c r="C8" s="25"/>
      <c r="D8" s="25"/>
      <c r="E8" s="25"/>
      <c r="F8" s="25"/>
      <c r="H8" s="25"/>
      <c r="I8" s="25"/>
      <c r="J8" s="25"/>
      <c r="K8" s="25"/>
      <c r="L8" s="25"/>
      <c r="M8" s="25"/>
      <c r="N8" s="25"/>
      <c r="O8" s="25"/>
      <c r="P8" s="25"/>
      <c r="Q8" s="25"/>
      <c r="R8" s="25"/>
      <c r="S8" s="54"/>
      <c r="T8" s="54"/>
      <c r="U8" s="25"/>
    </row>
    <row r="9" spans="1:21">
      <c r="A9" s="20"/>
      <c r="C9" s="25"/>
      <c r="D9" s="25"/>
      <c r="E9" s="25"/>
      <c r="F9" s="25"/>
      <c r="G9" s="56"/>
      <c r="H9" s="25"/>
      <c r="I9" s="25"/>
      <c r="J9" s="25"/>
      <c r="K9" s="25"/>
      <c r="L9" s="25"/>
      <c r="M9" s="25"/>
      <c r="N9" s="25"/>
      <c r="O9" s="25"/>
      <c r="P9" s="25"/>
      <c r="Q9" s="25"/>
      <c r="R9" s="25"/>
      <c r="S9" s="54"/>
      <c r="T9" s="54"/>
      <c r="U9" s="25"/>
    </row>
    <row r="10" spans="1:21">
      <c r="A10" s="20"/>
      <c r="C10" s="25" t="s">
        <v>509</v>
      </c>
      <c r="D10" s="25"/>
      <c r="E10" s="25"/>
      <c r="F10" s="25"/>
      <c r="G10" s="56"/>
      <c r="H10" s="25"/>
      <c r="I10" s="25"/>
      <c r="J10" s="25"/>
      <c r="K10" s="25"/>
      <c r="L10" s="25"/>
      <c r="M10" s="25"/>
      <c r="N10" s="25"/>
      <c r="O10" s="25"/>
      <c r="P10" s="25"/>
      <c r="Q10" s="25"/>
      <c r="R10" s="25"/>
      <c r="S10" s="54"/>
      <c r="T10" s="54"/>
      <c r="U10" s="25"/>
    </row>
    <row r="11" spans="1:21">
      <c r="A11" s="20"/>
      <c r="C11" s="25" t="s">
        <v>963</v>
      </c>
      <c r="D11" s="25"/>
      <c r="E11" s="25"/>
      <c r="F11" s="25"/>
      <c r="G11" s="56"/>
      <c r="L11" s="25"/>
      <c r="M11" s="25"/>
      <c r="N11" s="25"/>
      <c r="O11" s="25"/>
      <c r="P11" s="25"/>
      <c r="Q11" s="25"/>
      <c r="R11" s="25"/>
      <c r="S11" s="25"/>
      <c r="T11" s="25"/>
      <c r="U11" s="25"/>
    </row>
    <row r="12" spans="1:21">
      <c r="A12" s="20"/>
      <c r="C12" s="966" t="s">
        <v>973</v>
      </c>
      <c r="D12" s="966"/>
      <c r="E12" s="966"/>
      <c r="F12" s="966"/>
      <c r="G12" s="966"/>
      <c r="H12" s="966"/>
      <c r="I12" s="966"/>
      <c r="J12" s="966"/>
      <c r="K12" s="966"/>
      <c r="L12" s="966"/>
      <c r="M12" s="966"/>
      <c r="N12" s="966"/>
      <c r="O12" s="966"/>
      <c r="P12" s="966"/>
      <c r="Q12" s="966"/>
      <c r="R12" s="25"/>
      <c r="S12" s="25"/>
      <c r="T12" s="25"/>
      <c r="U12" s="25"/>
    </row>
    <row r="13" spans="1:21">
      <c r="A13" s="20"/>
      <c r="C13" s="25" t="s">
        <v>936</v>
      </c>
      <c r="D13" s="25"/>
      <c r="E13" s="25"/>
      <c r="F13" s="25"/>
      <c r="G13" s="25"/>
      <c r="L13" s="22"/>
      <c r="M13" s="22"/>
      <c r="N13" s="22"/>
      <c r="O13" s="22"/>
      <c r="P13" s="25"/>
      <c r="Q13" s="25"/>
      <c r="R13" s="25"/>
      <c r="S13" s="25"/>
      <c r="T13" s="25"/>
      <c r="U13" s="25"/>
    </row>
    <row r="14" spans="1:21">
      <c r="C14" s="57" t="s">
        <v>11</v>
      </c>
      <c r="D14" s="57"/>
      <c r="E14" s="57" t="s">
        <v>12</v>
      </c>
      <c r="F14" s="57"/>
      <c r="I14" s="57" t="s">
        <v>13</v>
      </c>
      <c r="L14" s="58" t="s">
        <v>14</v>
      </c>
      <c r="M14" s="58"/>
      <c r="N14" s="58"/>
      <c r="O14" s="58"/>
      <c r="P14" s="22"/>
      <c r="Q14" s="58"/>
      <c r="R14" s="22"/>
      <c r="S14" s="58"/>
      <c r="T14" s="22"/>
      <c r="U14" s="25"/>
    </row>
    <row r="15" spans="1:21">
      <c r="C15" s="25"/>
      <c r="D15" s="25"/>
      <c r="E15" s="59" t="s">
        <v>507</v>
      </c>
      <c r="F15" s="59"/>
      <c r="I15" s="22"/>
      <c r="P15" s="22"/>
      <c r="R15" s="22"/>
      <c r="S15" s="57"/>
      <c r="T15" s="57"/>
      <c r="U15" s="25"/>
    </row>
    <row r="16" spans="1:21">
      <c r="A16" s="20" t="s">
        <v>16</v>
      </c>
      <c r="C16" s="25"/>
      <c r="D16" s="25"/>
      <c r="E16" s="60" t="s">
        <v>26</v>
      </c>
      <c r="F16" s="60"/>
      <c r="I16" s="61" t="s">
        <v>25</v>
      </c>
      <c r="L16" s="61" t="s">
        <v>22</v>
      </c>
      <c r="M16" s="61"/>
      <c r="N16" s="61"/>
      <c r="O16" s="61"/>
      <c r="P16" s="22"/>
      <c r="R16" s="25"/>
      <c r="S16" s="62"/>
      <c r="T16" s="57"/>
      <c r="U16" s="25"/>
    </row>
    <row r="17" spans="1:21">
      <c r="A17" s="20" t="s">
        <v>18</v>
      </c>
      <c r="C17" s="63"/>
      <c r="D17" s="63"/>
      <c r="E17" s="59" t="s">
        <v>911</v>
      </c>
      <c r="F17" s="22"/>
      <c r="I17" s="22"/>
      <c r="L17" s="22"/>
      <c r="M17" s="22"/>
      <c r="N17" s="22"/>
      <c r="O17" s="22"/>
      <c r="P17" s="22"/>
      <c r="Q17" s="22"/>
      <c r="R17" s="25"/>
      <c r="S17" s="22"/>
      <c r="T17" s="22"/>
      <c r="U17" s="25"/>
    </row>
    <row r="18" spans="1:21">
      <c r="A18" s="64"/>
      <c r="C18" s="25"/>
      <c r="D18" s="25"/>
      <c r="E18" s="22"/>
      <c r="F18" s="22"/>
      <c r="I18" s="22"/>
      <c r="L18" s="22"/>
      <c r="M18" s="22"/>
      <c r="N18" s="22"/>
      <c r="O18" s="22"/>
      <c r="P18" s="22"/>
      <c r="Q18" s="22"/>
      <c r="R18" s="25"/>
      <c r="S18" s="22"/>
      <c r="T18" s="22"/>
      <c r="U18" s="25"/>
    </row>
    <row r="19" spans="1:21">
      <c r="A19" s="23">
        <v>1</v>
      </c>
      <c r="C19" s="25" t="s">
        <v>210</v>
      </c>
      <c r="D19" s="25"/>
      <c r="E19" s="65" t="s">
        <v>3</v>
      </c>
      <c r="F19" s="23"/>
      <c r="I19" s="48">
        <f>+'Attachment H'!I64+'Attachment H'!I93</f>
        <v>18189760.969999999</v>
      </c>
      <c r="P19" s="22"/>
      <c r="Q19" s="22"/>
      <c r="R19" s="25"/>
      <c r="S19" s="22"/>
      <c r="T19" s="22"/>
      <c r="U19" s="25"/>
    </row>
    <row r="20" spans="1:21">
      <c r="A20" s="23">
        <v>2</v>
      </c>
      <c r="C20" s="25" t="s">
        <v>211</v>
      </c>
      <c r="D20" s="25"/>
      <c r="E20" s="65" t="s">
        <v>970</v>
      </c>
      <c r="F20" s="23"/>
      <c r="I20" s="48">
        <f>+'Attachment H'!I80+'Attachment H'!I93+'Attachment H'!I95</f>
        <v>15500851.321562758</v>
      </c>
      <c r="P20" s="22"/>
      <c r="Q20" s="22"/>
      <c r="R20" s="25"/>
      <c r="S20" s="22"/>
      <c r="T20" s="22"/>
      <c r="U20" s="25"/>
    </row>
    <row r="21" spans="1:21">
      <c r="A21" s="23"/>
      <c r="E21" s="65"/>
      <c r="F21" s="23"/>
      <c r="P21" s="22"/>
      <c r="Q21" s="22"/>
      <c r="R21" s="25"/>
      <c r="S21" s="22"/>
      <c r="T21" s="22"/>
      <c r="U21" s="25"/>
    </row>
    <row r="22" spans="1:21">
      <c r="A22" s="23"/>
      <c r="C22" s="25" t="s">
        <v>212</v>
      </c>
      <c r="D22" s="25"/>
      <c r="E22" s="65"/>
      <c r="F22" s="23"/>
      <c r="I22" s="22"/>
      <c r="L22" s="22"/>
      <c r="M22" s="22"/>
      <c r="N22" s="22"/>
      <c r="O22" s="22"/>
      <c r="P22" s="22"/>
      <c r="Q22" s="22"/>
      <c r="R22" s="22"/>
      <c r="S22" s="22"/>
      <c r="T22" s="22"/>
      <c r="U22" s="25"/>
    </row>
    <row r="23" spans="1:21">
      <c r="A23" s="23">
        <v>3</v>
      </c>
      <c r="C23" s="25" t="s">
        <v>213</v>
      </c>
      <c r="D23" s="25"/>
      <c r="E23" s="65" t="s">
        <v>4</v>
      </c>
      <c r="F23" s="23"/>
      <c r="I23" s="66">
        <f>+'Attachment H'!I134</f>
        <v>771186.31993465172</v>
      </c>
      <c r="P23" s="22"/>
      <c r="Q23" s="22"/>
      <c r="R23" s="22"/>
      <c r="S23" s="22"/>
      <c r="T23" s="22"/>
      <c r="U23" s="25"/>
    </row>
    <row r="24" spans="1:21">
      <c r="A24" s="23">
        <v>4</v>
      </c>
      <c r="C24" s="25" t="s">
        <v>214</v>
      </c>
      <c r="D24" s="25"/>
      <c r="E24" s="65" t="s">
        <v>215</v>
      </c>
      <c r="F24" s="23"/>
      <c r="I24" s="49">
        <f>IF(I19=0,0,I23/I19)</f>
        <v>4.2396726444429565E-2</v>
      </c>
      <c r="L24" s="67">
        <f>I24</f>
        <v>4.2396726444429565E-2</v>
      </c>
      <c r="M24" s="68"/>
      <c r="N24" s="68"/>
      <c r="O24" s="68"/>
      <c r="P24" s="22"/>
      <c r="Q24" s="69"/>
      <c r="R24" s="70"/>
      <c r="S24" s="71"/>
      <c r="T24" s="22"/>
      <c r="U24" s="25"/>
    </row>
    <row r="25" spans="1:21">
      <c r="A25" s="23"/>
      <c r="C25" s="25"/>
      <c r="D25" s="25"/>
      <c r="E25" s="65"/>
      <c r="F25" s="23"/>
      <c r="I25" s="72"/>
      <c r="L25" s="68"/>
      <c r="M25" s="68"/>
      <c r="N25" s="68"/>
      <c r="O25" s="68"/>
      <c r="P25" s="22"/>
      <c r="Q25" s="69"/>
      <c r="R25" s="70"/>
      <c r="S25" s="71"/>
      <c r="T25" s="22"/>
      <c r="U25" s="25"/>
    </row>
    <row r="26" spans="1:21">
      <c r="A26" s="58"/>
      <c r="C26" s="25" t="s">
        <v>714</v>
      </c>
      <c r="D26" s="25"/>
      <c r="E26" s="236"/>
      <c r="F26" s="51"/>
      <c r="I26" s="22"/>
      <c r="L26" s="22"/>
      <c r="M26" s="22"/>
      <c r="N26" s="22"/>
      <c r="O26" s="22"/>
      <c r="P26" s="22"/>
      <c r="Q26" s="69"/>
      <c r="R26" s="70"/>
      <c r="S26" s="71"/>
      <c r="T26" s="22"/>
      <c r="U26" s="25"/>
    </row>
    <row r="27" spans="1:21">
      <c r="A27" s="58" t="s">
        <v>216</v>
      </c>
      <c r="C27" s="25" t="s">
        <v>716</v>
      </c>
      <c r="D27" s="25"/>
      <c r="E27" s="65" t="s">
        <v>5</v>
      </c>
      <c r="F27" s="23"/>
      <c r="I27" s="66">
        <f>+'Attachment H'!I138+'Attachment H'!I139</f>
        <v>160.60718830781821</v>
      </c>
      <c r="P27" s="22"/>
      <c r="Q27" s="69"/>
      <c r="R27" s="70"/>
      <c r="S27" s="71"/>
      <c r="T27" s="22"/>
      <c r="U27" s="25"/>
    </row>
    <row r="28" spans="1:21">
      <c r="A28" s="58" t="s">
        <v>217</v>
      </c>
      <c r="C28" s="25" t="s">
        <v>715</v>
      </c>
      <c r="D28" s="25"/>
      <c r="E28" s="65" t="s">
        <v>218</v>
      </c>
      <c r="F28" s="23"/>
      <c r="I28" s="49">
        <f>IF(I27=0,0,I27/I19)</f>
        <v>8.8295381436130112E-6</v>
      </c>
      <c r="J28" s="49"/>
      <c r="K28" s="49"/>
      <c r="L28" s="73">
        <f>I28</f>
        <v>8.8295381436130112E-6</v>
      </c>
      <c r="M28" s="68"/>
      <c r="N28" s="68"/>
      <c r="O28" s="68"/>
      <c r="P28" s="22"/>
      <c r="Q28" s="69"/>
      <c r="R28" s="70"/>
      <c r="S28" s="71"/>
      <c r="T28" s="22"/>
      <c r="U28" s="25"/>
    </row>
    <row r="29" spans="1:21">
      <c r="A29" s="23"/>
      <c r="C29" s="25"/>
      <c r="D29" s="25"/>
      <c r="E29" s="65"/>
      <c r="F29" s="23"/>
      <c r="I29" s="49"/>
      <c r="J29" s="49"/>
      <c r="K29" s="49"/>
      <c r="L29" s="73"/>
      <c r="M29" s="68"/>
      <c r="N29" s="68"/>
      <c r="O29" s="68"/>
      <c r="P29" s="22"/>
      <c r="Q29" s="69"/>
      <c r="R29" s="70"/>
      <c r="S29" s="71"/>
      <c r="T29" s="22"/>
      <c r="U29" s="25"/>
    </row>
    <row r="30" spans="1:21">
      <c r="A30" s="58"/>
      <c r="C30" s="25" t="s">
        <v>219</v>
      </c>
      <c r="D30" s="25"/>
      <c r="E30" s="236"/>
      <c r="F30" s="51"/>
      <c r="I30" s="49"/>
      <c r="J30" s="49"/>
      <c r="K30" s="49"/>
      <c r="L30" s="49"/>
      <c r="M30" s="22"/>
      <c r="N30" s="22"/>
      <c r="O30" s="22"/>
      <c r="P30" s="22"/>
      <c r="Q30" s="22"/>
      <c r="R30" s="22"/>
      <c r="S30" s="22"/>
      <c r="T30" s="22"/>
      <c r="U30" s="25"/>
    </row>
    <row r="31" spans="1:21">
      <c r="A31" s="58" t="s">
        <v>220</v>
      </c>
      <c r="C31" s="25" t="s">
        <v>221</v>
      </c>
      <c r="D31" s="25"/>
      <c r="E31" s="65" t="s">
        <v>681</v>
      </c>
      <c r="F31" s="23"/>
      <c r="I31" s="49">
        <f>+'Attachment H'!I152</f>
        <v>274801.85203399457</v>
      </c>
      <c r="J31" s="49"/>
      <c r="K31" s="49"/>
      <c r="L31" s="49"/>
      <c r="P31" s="22"/>
      <c r="Q31" s="62"/>
      <c r="R31" s="22"/>
      <c r="S31" s="23"/>
      <c r="T31" s="57"/>
      <c r="U31" s="25"/>
    </row>
    <row r="32" spans="1:21">
      <c r="A32" s="58" t="s">
        <v>222</v>
      </c>
      <c r="C32" s="25" t="s">
        <v>223</v>
      </c>
      <c r="D32" s="25"/>
      <c r="E32" s="65" t="s">
        <v>224</v>
      </c>
      <c r="F32" s="23"/>
      <c r="I32" s="49">
        <f>IF(I31=0,0,I31/I19)</f>
        <v>1.5107502098967636E-2</v>
      </c>
      <c r="J32" s="49"/>
      <c r="K32" s="49"/>
      <c r="L32" s="73">
        <f>I32</f>
        <v>1.5107502098967636E-2</v>
      </c>
      <c r="M32" s="68"/>
      <c r="N32" s="68"/>
      <c r="O32" s="68"/>
      <c r="P32" s="22"/>
      <c r="Q32" s="69"/>
      <c r="R32" s="22"/>
      <c r="S32" s="71"/>
      <c r="T32" s="57"/>
      <c r="U32" s="25"/>
    </row>
    <row r="33" spans="1:21">
      <c r="A33" s="58"/>
      <c r="C33" s="25"/>
      <c r="D33" s="25"/>
      <c r="E33" s="65"/>
      <c r="F33" s="23"/>
      <c r="I33" s="22"/>
      <c r="L33" s="22"/>
      <c r="M33" s="22"/>
      <c r="N33" s="22"/>
      <c r="O33" s="22"/>
      <c r="P33" s="22"/>
      <c r="T33" s="22"/>
      <c r="U33" s="25"/>
    </row>
    <row r="34" spans="1:21">
      <c r="A34" s="58" t="s">
        <v>225</v>
      </c>
      <c r="C34" s="25" t="s">
        <v>272</v>
      </c>
      <c r="D34" s="25"/>
      <c r="E34" s="65" t="s">
        <v>6</v>
      </c>
      <c r="F34" s="23"/>
      <c r="I34" s="48">
        <f>-'Attachment H'!I19</f>
        <v>-71271.470000000016</v>
      </c>
      <c r="L34" s="22"/>
      <c r="M34" s="22"/>
      <c r="N34" s="22"/>
      <c r="O34" s="22"/>
      <c r="P34" s="22"/>
      <c r="T34" s="22"/>
      <c r="U34" s="25"/>
    </row>
    <row r="35" spans="1:21">
      <c r="A35" s="58" t="s">
        <v>228</v>
      </c>
      <c r="C35" s="25" t="s">
        <v>671</v>
      </c>
      <c r="D35" s="25"/>
      <c r="E35" s="65" t="s">
        <v>266</v>
      </c>
      <c r="F35" s="23"/>
      <c r="I35" s="74">
        <f>IF(I34=0,0,I34/I19)</f>
        <v>-3.9182191628326837E-3</v>
      </c>
      <c r="L35" s="49">
        <f>+I35</f>
        <v>-3.9182191628326837E-3</v>
      </c>
      <c r="M35" s="22"/>
      <c r="N35" s="22"/>
      <c r="O35" s="22"/>
      <c r="P35" s="22"/>
      <c r="T35" s="22"/>
      <c r="U35" s="25"/>
    </row>
    <row r="36" spans="1:21">
      <c r="A36" s="58"/>
      <c r="C36" s="25"/>
      <c r="D36" s="25"/>
      <c r="E36" s="65"/>
      <c r="F36" s="23"/>
      <c r="I36" s="22"/>
      <c r="L36" s="22"/>
      <c r="M36" s="22"/>
      <c r="N36" s="22"/>
      <c r="O36" s="22"/>
      <c r="P36" s="22"/>
      <c r="T36" s="22"/>
      <c r="U36" s="25"/>
    </row>
    <row r="37" spans="1:21">
      <c r="A37" s="75" t="s">
        <v>229</v>
      </c>
      <c r="B37" s="76"/>
      <c r="C37" s="63" t="s">
        <v>226</v>
      </c>
      <c r="D37" s="63"/>
      <c r="E37" s="77" t="s">
        <v>267</v>
      </c>
      <c r="F37" s="59"/>
      <c r="I37" s="70"/>
      <c r="L37" s="614">
        <f>L24+L28+L32+L35</f>
        <v>5.3594838918708129E-2</v>
      </c>
      <c r="M37" s="79"/>
      <c r="N37" s="79"/>
      <c r="O37" s="79"/>
      <c r="P37" s="22"/>
      <c r="T37" s="22"/>
      <c r="U37" s="25"/>
    </row>
    <row r="38" spans="1:21">
      <c r="A38" s="58"/>
      <c r="C38" s="25"/>
      <c r="D38" s="25"/>
      <c r="E38" s="65"/>
      <c r="F38" s="23"/>
      <c r="I38" s="22"/>
      <c r="L38" s="22"/>
      <c r="M38" s="22"/>
      <c r="N38" s="22"/>
      <c r="O38" s="22"/>
      <c r="P38" s="22"/>
      <c r="Q38" s="22"/>
      <c r="R38" s="22"/>
      <c r="S38" s="80"/>
      <c r="T38" s="22"/>
      <c r="U38" s="25"/>
    </row>
    <row r="39" spans="1:21">
      <c r="A39" s="58"/>
      <c r="B39" s="81"/>
      <c r="C39" s="22" t="s">
        <v>227</v>
      </c>
      <c r="D39" s="22"/>
      <c r="E39" s="65"/>
      <c r="F39" s="23"/>
      <c r="I39" s="22"/>
      <c r="L39" s="22"/>
      <c r="M39" s="22"/>
      <c r="N39" s="22"/>
      <c r="O39" s="22"/>
      <c r="P39" s="82"/>
      <c r="Q39" s="81"/>
      <c r="T39" s="57"/>
      <c r="U39" s="22" t="s">
        <v>10</v>
      </c>
    </row>
    <row r="40" spans="1:21">
      <c r="A40" s="58" t="s">
        <v>231</v>
      </c>
      <c r="B40" s="81"/>
      <c r="C40" s="22" t="s">
        <v>52</v>
      </c>
      <c r="D40" s="22"/>
      <c r="E40" s="65" t="s">
        <v>682</v>
      </c>
      <c r="F40" s="23"/>
      <c r="I40" s="48">
        <f>+'Attachment H'!I167</f>
        <v>276731.70971103961</v>
      </c>
      <c r="L40" s="22"/>
      <c r="M40" s="22"/>
      <c r="N40" s="22"/>
      <c r="O40" s="22"/>
      <c r="P40" s="82"/>
      <c r="Q40" s="81"/>
      <c r="T40" s="57"/>
      <c r="U40" s="22"/>
    </row>
    <row r="41" spans="1:21">
      <c r="A41" s="58" t="s">
        <v>233</v>
      </c>
      <c r="B41" s="81"/>
      <c r="C41" s="22" t="s">
        <v>230</v>
      </c>
      <c r="D41" s="22"/>
      <c r="E41" s="65" t="s">
        <v>235</v>
      </c>
      <c r="F41" s="23"/>
      <c r="I41" s="49">
        <f>IF(I20=0,0,I40/I20)</f>
        <v>1.7852678151043654E-2</v>
      </c>
      <c r="L41" s="73">
        <f>I41</f>
        <v>1.7852678151043654E-2</v>
      </c>
      <c r="M41" s="68"/>
      <c r="N41" s="68"/>
      <c r="O41" s="68"/>
      <c r="P41" s="82"/>
      <c r="Q41" s="81"/>
      <c r="R41" s="22"/>
      <c r="S41" s="22"/>
      <c r="T41" s="57"/>
      <c r="U41" s="22"/>
    </row>
    <row r="42" spans="1:21">
      <c r="A42" s="58"/>
      <c r="C42" s="22"/>
      <c r="D42" s="22"/>
      <c r="E42" s="65"/>
      <c r="F42" s="23"/>
      <c r="I42" s="22"/>
      <c r="L42" s="22"/>
      <c r="M42" s="22"/>
      <c r="N42" s="22"/>
      <c r="O42" s="22"/>
      <c r="P42" s="22"/>
      <c r="R42" s="25"/>
      <c r="S42" s="22"/>
      <c r="T42" s="25"/>
      <c r="U42" s="25"/>
    </row>
    <row r="43" spans="1:21">
      <c r="A43" s="58"/>
      <c r="C43" s="25" t="s">
        <v>53</v>
      </c>
      <c r="D43" s="25"/>
      <c r="E43" s="83"/>
      <c r="F43" s="84"/>
      <c r="P43" s="22"/>
      <c r="R43" s="22"/>
      <c r="S43" s="22"/>
      <c r="T43" s="22"/>
      <c r="U43" s="25"/>
    </row>
    <row r="44" spans="1:21">
      <c r="A44" s="58" t="s">
        <v>236</v>
      </c>
      <c r="C44" s="25" t="s">
        <v>232</v>
      </c>
      <c r="D44" s="25"/>
      <c r="E44" s="65" t="s">
        <v>683</v>
      </c>
      <c r="F44" s="23"/>
      <c r="I44" s="48">
        <f>+'Attachment H'!I170</f>
        <v>1200463.654814695</v>
      </c>
      <c r="L44" s="22"/>
      <c r="M44" s="22"/>
      <c r="N44" s="22"/>
      <c r="O44" s="22"/>
      <c r="P44" s="22"/>
      <c r="R44" s="22"/>
      <c r="S44" s="22"/>
      <c r="T44" s="22"/>
      <c r="U44" s="25"/>
    </row>
    <row r="45" spans="1:21">
      <c r="A45" s="58" t="s">
        <v>264</v>
      </c>
      <c r="B45" s="81"/>
      <c r="C45" s="22" t="s">
        <v>234</v>
      </c>
      <c r="D45" s="22"/>
      <c r="E45" s="65" t="s">
        <v>717</v>
      </c>
      <c r="F45" s="23"/>
      <c r="I45" s="49">
        <f>IF(I20=0,0,I44/I20)</f>
        <v>7.7445014464771159E-2</v>
      </c>
      <c r="L45" s="73">
        <f>I45</f>
        <v>7.7445014464771159E-2</v>
      </c>
      <c r="M45" s="68"/>
      <c r="N45" s="68"/>
      <c r="O45" s="68"/>
      <c r="P45" s="22"/>
      <c r="S45" s="85"/>
      <c r="T45" s="57"/>
      <c r="U45" s="22"/>
    </row>
    <row r="46" spans="1:21">
      <c r="A46" s="58"/>
      <c r="C46" s="25"/>
      <c r="D46" s="25"/>
      <c r="E46" s="65"/>
      <c r="F46" s="23"/>
      <c r="I46" s="22"/>
      <c r="L46" s="22"/>
      <c r="M46" s="22"/>
      <c r="N46" s="22"/>
      <c r="O46" s="22"/>
      <c r="P46" s="22"/>
      <c r="Q46" s="84"/>
      <c r="R46" s="22"/>
      <c r="S46" s="22"/>
      <c r="T46" s="22"/>
      <c r="U46" s="25"/>
    </row>
    <row r="47" spans="1:21">
      <c r="A47" s="75" t="s">
        <v>265</v>
      </c>
      <c r="B47" s="76"/>
      <c r="C47" s="63" t="s">
        <v>237</v>
      </c>
      <c r="D47" s="63"/>
      <c r="E47" s="77" t="s">
        <v>268</v>
      </c>
      <c r="F47" s="59"/>
      <c r="I47" s="49">
        <f>+I45+I41</f>
        <v>9.5297692615814805E-2</v>
      </c>
      <c r="L47" s="78">
        <f>L41+L45</f>
        <v>9.5297692615814805E-2</v>
      </c>
      <c r="M47" s="79"/>
      <c r="N47" s="79"/>
      <c r="O47" s="79"/>
      <c r="P47" s="22"/>
      <c r="Q47" s="84"/>
      <c r="R47" s="22"/>
      <c r="S47" s="22"/>
      <c r="T47" s="22"/>
      <c r="U47" s="25"/>
    </row>
    <row r="48" spans="1:21">
      <c r="P48" s="86"/>
      <c r="Q48" s="86"/>
      <c r="R48" s="22"/>
      <c r="S48" s="22"/>
      <c r="T48" s="22"/>
      <c r="U48" s="25"/>
    </row>
    <row r="49" spans="1:21">
      <c r="P49" s="86"/>
      <c r="Q49" s="86"/>
      <c r="R49" s="22"/>
      <c r="S49" s="22"/>
      <c r="T49" s="22"/>
      <c r="U49" s="25"/>
    </row>
    <row r="50" spans="1:21">
      <c r="A50" s="87"/>
      <c r="C50" s="58"/>
      <c r="D50" s="58"/>
      <c r="E50" s="51"/>
      <c r="F50" s="51"/>
      <c r="G50" s="22"/>
      <c r="J50" s="72"/>
      <c r="P50" s="22"/>
      <c r="Q50" s="69"/>
      <c r="R50" s="53"/>
      <c r="S50" s="22"/>
      <c r="T50" s="23"/>
      <c r="U50" s="22"/>
    </row>
    <row r="51" spans="1:21">
      <c r="A51" s="20"/>
      <c r="G51" s="22"/>
      <c r="P51" s="22"/>
      <c r="Q51" s="22"/>
      <c r="R51" s="22"/>
      <c r="S51" s="22"/>
      <c r="T51" s="57"/>
      <c r="U51" s="22" t="s">
        <v>10</v>
      </c>
    </row>
    <row r="52" spans="1:21">
      <c r="Q52" s="52"/>
    </row>
    <row r="53" spans="1:21">
      <c r="Q53" s="52"/>
    </row>
    <row r="54" spans="1:21">
      <c r="M54" s="24" t="s">
        <v>791</v>
      </c>
    </row>
    <row r="55" spans="1:21">
      <c r="A55" s="20"/>
      <c r="G55" s="22"/>
      <c r="P55" s="22"/>
      <c r="Q55" s="52"/>
      <c r="R55" s="22"/>
      <c r="S55" s="25"/>
      <c r="T55" s="22"/>
      <c r="U55" s="25"/>
    </row>
    <row r="56" spans="1:21">
      <c r="A56" s="20"/>
      <c r="C56" s="25"/>
      <c r="D56" s="25"/>
      <c r="G56" s="51" t="str">
        <f>+G5</f>
        <v>Attachment 11</v>
      </c>
      <c r="H56" s="51"/>
      <c r="O56" s="51"/>
      <c r="P56" s="22"/>
      <c r="Q56" s="52"/>
      <c r="R56" s="22"/>
      <c r="S56" s="25"/>
      <c r="T56" s="22"/>
      <c r="U56" s="25"/>
    </row>
    <row r="57" spans="1:21">
      <c r="A57" s="20"/>
      <c r="C57" s="25"/>
      <c r="D57" s="25"/>
      <c r="G57" s="51" t="str">
        <f>+G6</f>
        <v>Wholesale Distribution Service</v>
      </c>
      <c r="H57" s="51"/>
      <c r="L57" s="22"/>
      <c r="M57" s="22"/>
      <c r="N57" s="22"/>
      <c r="O57" s="51"/>
      <c r="P57" s="22"/>
      <c r="R57" s="22"/>
      <c r="S57" s="25"/>
      <c r="T57" s="22"/>
      <c r="U57" s="25"/>
    </row>
    <row r="58" spans="1:21" ht="14.25" customHeight="1">
      <c r="A58" s="20"/>
      <c r="G58" s="51" t="str">
        <f>+G7</f>
        <v>Gridliance High Plains LLC</v>
      </c>
      <c r="O58" s="51"/>
      <c r="P58" s="22"/>
      <c r="R58" s="22"/>
      <c r="S58" s="25"/>
      <c r="T58" s="22"/>
      <c r="U58" s="25"/>
    </row>
    <row r="59" spans="1:21">
      <c r="A59" s="20"/>
      <c r="H59" s="51"/>
      <c r="P59" s="22"/>
      <c r="Q59" s="22"/>
      <c r="R59" s="22"/>
      <c r="S59" s="25"/>
      <c r="T59" s="22"/>
      <c r="U59" s="25"/>
    </row>
    <row r="60" spans="1:21">
      <c r="A60" s="20"/>
      <c r="E60" s="25"/>
      <c r="F60" s="25"/>
      <c r="G60" s="25"/>
      <c r="H60" s="25"/>
      <c r="I60" s="25"/>
      <c r="J60" s="25"/>
      <c r="K60" s="25"/>
      <c r="L60" s="25"/>
      <c r="M60" s="25"/>
      <c r="N60" s="25"/>
      <c r="O60" s="25"/>
      <c r="P60" s="25"/>
      <c r="Q60" s="25"/>
      <c r="R60" s="22"/>
      <c r="S60" s="25"/>
      <c r="T60" s="22"/>
      <c r="U60" s="25"/>
    </row>
    <row r="61" spans="1:21">
      <c r="A61" s="20"/>
      <c r="E61" s="63"/>
      <c r="F61" s="63"/>
      <c r="H61" s="25"/>
      <c r="I61" s="25"/>
      <c r="J61" s="25"/>
      <c r="K61" s="25"/>
      <c r="L61" s="25"/>
      <c r="M61" s="25"/>
      <c r="N61" s="25"/>
      <c r="O61" s="25"/>
      <c r="P61" s="22"/>
      <c r="Q61" s="22"/>
      <c r="R61" s="22"/>
      <c r="S61" s="25"/>
      <c r="T61" s="22"/>
      <c r="U61" s="25"/>
    </row>
    <row r="62" spans="1:21">
      <c r="A62" s="20"/>
      <c r="E62" s="63"/>
      <c r="F62" s="63"/>
      <c r="H62" s="25"/>
      <c r="I62" s="25"/>
      <c r="J62" s="25"/>
      <c r="K62" s="25"/>
      <c r="L62" s="25"/>
      <c r="M62" s="25"/>
      <c r="N62" s="25"/>
      <c r="O62" s="25"/>
      <c r="P62" s="22"/>
      <c r="Q62" s="22"/>
      <c r="R62" s="22"/>
      <c r="S62" s="25"/>
      <c r="T62" s="22"/>
      <c r="U62" s="25"/>
    </row>
    <row r="63" spans="1:21" ht="13.5" thickBot="1">
      <c r="A63" s="20"/>
      <c r="C63" s="88">
        <v>-1</v>
      </c>
      <c r="D63" s="88">
        <v>-2</v>
      </c>
      <c r="E63" s="88">
        <v>-3</v>
      </c>
      <c r="F63" s="88">
        <v>-4</v>
      </c>
      <c r="G63" s="88">
        <v>-5</v>
      </c>
      <c r="H63" s="88">
        <v>-6</v>
      </c>
      <c r="I63" s="88">
        <v>-7</v>
      </c>
      <c r="J63" s="88">
        <v>-8</v>
      </c>
      <c r="K63" s="88">
        <v>-9</v>
      </c>
      <c r="L63" s="88">
        <v>-10</v>
      </c>
      <c r="M63" s="88">
        <v>-11</v>
      </c>
      <c r="N63" s="88"/>
      <c r="O63" s="88"/>
      <c r="P63" s="88"/>
      <c r="Q63" s="235"/>
      <c r="R63" s="235"/>
      <c r="S63" s="235"/>
      <c r="T63" s="22"/>
      <c r="U63" s="25"/>
    </row>
    <row r="64" spans="1:21" ht="53.25" customHeight="1" thickBot="1">
      <c r="A64" s="563" t="s">
        <v>239</v>
      </c>
      <c r="B64" s="564"/>
      <c r="C64" s="564" t="s">
        <v>787</v>
      </c>
      <c r="D64" s="565" t="s">
        <v>240</v>
      </c>
      <c r="E64" s="565" t="s">
        <v>912</v>
      </c>
      <c r="F64" s="565" t="s">
        <v>241</v>
      </c>
      <c r="G64" s="565" t="s">
        <v>913</v>
      </c>
      <c r="H64" s="565" t="s">
        <v>237</v>
      </c>
      <c r="I64" s="565" t="s">
        <v>243</v>
      </c>
      <c r="J64" s="565" t="s">
        <v>914</v>
      </c>
      <c r="K64" s="565" t="s">
        <v>916</v>
      </c>
      <c r="L64" s="565" t="s">
        <v>915</v>
      </c>
      <c r="M64" s="603" t="s">
        <v>827</v>
      </c>
      <c r="O64" s="562"/>
      <c r="P64" s="562"/>
      <c r="Q64" s="562"/>
      <c r="R64" s="562"/>
      <c r="S64" s="562"/>
      <c r="T64" s="22"/>
      <c r="U64" s="25"/>
    </row>
    <row r="65" spans="1:21" ht="46.5" customHeight="1">
      <c r="A65" s="594"/>
      <c r="B65" s="592"/>
      <c r="C65" s="592"/>
      <c r="D65" s="593" t="s">
        <v>179</v>
      </c>
      <c r="E65" s="593" t="s">
        <v>472</v>
      </c>
      <c r="F65" s="593" t="s">
        <v>831</v>
      </c>
      <c r="G65" s="593" t="s">
        <v>180</v>
      </c>
      <c r="H65" s="593" t="s">
        <v>473</v>
      </c>
      <c r="I65" s="593" t="s">
        <v>830</v>
      </c>
      <c r="J65" s="593" t="s">
        <v>760</v>
      </c>
      <c r="K65" s="593" t="s">
        <v>829</v>
      </c>
      <c r="L65" s="593"/>
      <c r="M65" s="602" t="s">
        <v>828</v>
      </c>
      <c r="O65" s="590"/>
      <c r="P65" s="576"/>
      <c r="Q65" s="590"/>
      <c r="R65" s="23"/>
      <c r="S65" s="590"/>
      <c r="T65" s="22"/>
      <c r="U65" s="25"/>
    </row>
    <row r="66" spans="1:21">
      <c r="A66" s="595"/>
      <c r="B66" s="25"/>
      <c r="C66" s="25"/>
      <c r="D66" s="25"/>
      <c r="E66" s="25"/>
      <c r="F66" s="25"/>
      <c r="G66" s="25"/>
      <c r="H66" s="25"/>
      <c r="I66" s="25"/>
      <c r="J66" s="25"/>
      <c r="K66" s="25"/>
      <c r="L66" s="25"/>
      <c r="M66" s="597"/>
      <c r="O66" s="25"/>
      <c r="P66" s="25"/>
      <c r="Q66" s="25"/>
      <c r="R66" s="22"/>
      <c r="S66" s="22"/>
      <c r="T66" s="22"/>
      <c r="U66" s="25"/>
    </row>
    <row r="67" spans="1:21">
      <c r="A67" s="598" t="s">
        <v>643</v>
      </c>
      <c r="B67" s="104"/>
      <c r="C67" s="105"/>
      <c r="D67" s="173">
        <v>0</v>
      </c>
      <c r="E67" s="49">
        <f t="shared" ref="E67:E85" si="0">$L$37</f>
        <v>5.3594838918708129E-2</v>
      </c>
      <c r="F67" s="49">
        <f t="shared" ref="F67:F85" si="1">D67*E67</f>
        <v>0</v>
      </c>
      <c r="G67" s="173">
        <v>0</v>
      </c>
      <c r="H67" s="49">
        <f t="shared" ref="H67:H85" si="2">$L$47</f>
        <v>9.5297692615814805E-2</v>
      </c>
      <c r="I67" s="48">
        <f t="shared" ref="I67:I85" si="3">G67*H67</f>
        <v>0</v>
      </c>
      <c r="J67" s="173">
        <v>0</v>
      </c>
      <c r="K67" s="48">
        <f t="shared" ref="K67:K85" si="4">F67+I67+J67</f>
        <v>0</v>
      </c>
      <c r="L67" s="589">
        <v>0</v>
      </c>
      <c r="M67" s="604">
        <f>+K67*L67</f>
        <v>0</v>
      </c>
      <c r="O67" s="49"/>
      <c r="P67" s="49"/>
      <c r="Q67" s="49"/>
      <c r="R67" s="49"/>
      <c r="S67" s="49"/>
    </row>
    <row r="68" spans="1:21">
      <c r="A68" s="598" t="s">
        <v>644</v>
      </c>
      <c r="B68" s="104"/>
      <c r="C68" s="105"/>
      <c r="D68" s="589">
        <v>0</v>
      </c>
      <c r="E68" s="49">
        <f t="shared" si="0"/>
        <v>5.3594838918708129E-2</v>
      </c>
      <c r="F68" s="49">
        <f t="shared" si="1"/>
        <v>0</v>
      </c>
      <c r="G68" s="589">
        <v>0</v>
      </c>
      <c r="H68" s="49">
        <f t="shared" si="2"/>
        <v>9.5297692615814805E-2</v>
      </c>
      <c r="I68" s="49">
        <f t="shared" si="3"/>
        <v>0</v>
      </c>
      <c r="J68" s="173">
        <v>0</v>
      </c>
      <c r="K68" s="49">
        <f t="shared" si="4"/>
        <v>0</v>
      </c>
      <c r="L68" s="589">
        <v>0</v>
      </c>
      <c r="M68" s="599">
        <f t="shared" ref="M68:M85" si="5">+K68*L68</f>
        <v>0</v>
      </c>
      <c r="O68" s="49"/>
      <c r="P68" s="49"/>
      <c r="Q68" s="49"/>
      <c r="R68" s="49"/>
      <c r="S68" s="49"/>
    </row>
    <row r="69" spans="1:21" ht="24" customHeight="1">
      <c r="A69" s="598" t="s">
        <v>645</v>
      </c>
      <c r="B69" s="104"/>
      <c r="C69" s="105"/>
      <c r="D69" s="589">
        <v>0</v>
      </c>
      <c r="E69" s="49">
        <f t="shared" si="0"/>
        <v>5.3594838918708129E-2</v>
      </c>
      <c r="F69" s="49">
        <f t="shared" si="1"/>
        <v>0</v>
      </c>
      <c r="G69" s="589">
        <v>0</v>
      </c>
      <c r="H69" s="49">
        <f t="shared" si="2"/>
        <v>9.5297692615814805E-2</v>
      </c>
      <c r="I69" s="49">
        <f t="shared" si="3"/>
        <v>0</v>
      </c>
      <c r="J69" s="173">
        <v>0</v>
      </c>
      <c r="K69" s="49">
        <f t="shared" si="4"/>
        <v>0</v>
      </c>
      <c r="L69" s="589">
        <v>0</v>
      </c>
      <c r="M69" s="599">
        <f t="shared" si="5"/>
        <v>0</v>
      </c>
      <c r="O69" s="49"/>
      <c r="P69" s="49"/>
      <c r="Q69" s="49"/>
      <c r="R69" s="49"/>
      <c r="S69" s="49"/>
    </row>
    <row r="70" spans="1:21">
      <c r="A70" s="598" t="s">
        <v>501</v>
      </c>
      <c r="B70" s="104"/>
      <c r="C70" s="105"/>
      <c r="D70" s="589">
        <v>0</v>
      </c>
      <c r="E70" s="49">
        <f t="shared" si="0"/>
        <v>5.3594838918708129E-2</v>
      </c>
      <c r="F70" s="49">
        <f t="shared" si="1"/>
        <v>0</v>
      </c>
      <c r="G70" s="589">
        <v>0</v>
      </c>
      <c r="H70" s="49">
        <f t="shared" si="2"/>
        <v>9.5297692615814805E-2</v>
      </c>
      <c r="I70" s="49">
        <f t="shared" si="3"/>
        <v>0</v>
      </c>
      <c r="J70" s="173">
        <v>0</v>
      </c>
      <c r="K70" s="49">
        <f t="shared" si="4"/>
        <v>0</v>
      </c>
      <c r="L70" s="589">
        <v>0</v>
      </c>
      <c r="M70" s="599">
        <f t="shared" si="5"/>
        <v>0</v>
      </c>
      <c r="O70" s="49"/>
      <c r="P70" s="49"/>
      <c r="Q70" s="49"/>
      <c r="R70" s="49"/>
      <c r="S70" s="49"/>
    </row>
    <row r="71" spans="1:21">
      <c r="A71" s="598" t="s">
        <v>501</v>
      </c>
      <c r="B71" s="104"/>
      <c r="C71" s="105"/>
      <c r="D71" s="589">
        <v>0</v>
      </c>
      <c r="E71" s="49">
        <f t="shared" si="0"/>
        <v>5.3594838918708129E-2</v>
      </c>
      <c r="F71" s="49">
        <f t="shared" si="1"/>
        <v>0</v>
      </c>
      <c r="G71" s="589">
        <v>0</v>
      </c>
      <c r="H71" s="49">
        <f t="shared" si="2"/>
        <v>9.5297692615814805E-2</v>
      </c>
      <c r="I71" s="49">
        <f t="shared" si="3"/>
        <v>0</v>
      </c>
      <c r="J71" s="173">
        <v>0</v>
      </c>
      <c r="K71" s="49">
        <f t="shared" si="4"/>
        <v>0</v>
      </c>
      <c r="L71" s="589">
        <v>0</v>
      </c>
      <c r="M71" s="599">
        <f t="shared" si="5"/>
        <v>0</v>
      </c>
      <c r="O71" s="49"/>
      <c r="P71" s="49"/>
      <c r="Q71" s="49"/>
      <c r="R71" s="49"/>
      <c r="S71" s="49"/>
    </row>
    <row r="72" spans="1:21">
      <c r="A72" s="598" t="s">
        <v>501</v>
      </c>
      <c r="B72" s="104"/>
      <c r="C72" s="105"/>
      <c r="D72" s="589">
        <v>0</v>
      </c>
      <c r="E72" s="49">
        <f t="shared" si="0"/>
        <v>5.3594838918708129E-2</v>
      </c>
      <c r="F72" s="49">
        <f t="shared" si="1"/>
        <v>0</v>
      </c>
      <c r="G72" s="589">
        <v>0</v>
      </c>
      <c r="H72" s="49">
        <f t="shared" si="2"/>
        <v>9.5297692615814805E-2</v>
      </c>
      <c r="I72" s="49">
        <f t="shared" si="3"/>
        <v>0</v>
      </c>
      <c r="J72" s="173">
        <v>0</v>
      </c>
      <c r="K72" s="49">
        <f t="shared" si="4"/>
        <v>0</v>
      </c>
      <c r="L72" s="589">
        <v>0</v>
      </c>
      <c r="M72" s="599">
        <f t="shared" si="5"/>
        <v>0</v>
      </c>
      <c r="O72" s="49"/>
      <c r="P72" s="49"/>
      <c r="Q72" s="49"/>
      <c r="R72" s="49"/>
      <c r="S72" s="49"/>
    </row>
    <row r="73" spans="1:21">
      <c r="A73" s="598" t="s">
        <v>501</v>
      </c>
      <c r="B73" s="104"/>
      <c r="C73" s="105"/>
      <c r="D73" s="589">
        <v>0</v>
      </c>
      <c r="E73" s="49">
        <f t="shared" si="0"/>
        <v>5.3594838918708129E-2</v>
      </c>
      <c r="F73" s="49">
        <f t="shared" si="1"/>
        <v>0</v>
      </c>
      <c r="G73" s="589">
        <v>0</v>
      </c>
      <c r="H73" s="49">
        <f t="shared" si="2"/>
        <v>9.5297692615814805E-2</v>
      </c>
      <c r="I73" s="49">
        <f t="shared" si="3"/>
        <v>0</v>
      </c>
      <c r="J73" s="173">
        <v>0</v>
      </c>
      <c r="K73" s="49">
        <f t="shared" si="4"/>
        <v>0</v>
      </c>
      <c r="L73" s="589">
        <v>0</v>
      </c>
      <c r="M73" s="599">
        <f t="shared" si="5"/>
        <v>0</v>
      </c>
      <c r="O73" s="49"/>
      <c r="P73" s="49"/>
      <c r="Q73" s="49"/>
      <c r="R73" s="49"/>
      <c r="S73" s="49"/>
    </row>
    <row r="74" spans="1:21">
      <c r="A74" s="598" t="s">
        <v>501</v>
      </c>
      <c r="B74" s="104"/>
      <c r="C74" s="105"/>
      <c r="D74" s="589">
        <v>0</v>
      </c>
      <c r="E74" s="49">
        <f t="shared" si="0"/>
        <v>5.3594838918708129E-2</v>
      </c>
      <c r="F74" s="49">
        <f t="shared" si="1"/>
        <v>0</v>
      </c>
      <c r="G74" s="589">
        <v>0</v>
      </c>
      <c r="H74" s="49">
        <f t="shared" si="2"/>
        <v>9.5297692615814805E-2</v>
      </c>
      <c r="I74" s="49">
        <f t="shared" si="3"/>
        <v>0</v>
      </c>
      <c r="J74" s="173">
        <v>0</v>
      </c>
      <c r="K74" s="49">
        <f t="shared" si="4"/>
        <v>0</v>
      </c>
      <c r="L74" s="589">
        <v>0</v>
      </c>
      <c r="M74" s="599">
        <f t="shared" si="5"/>
        <v>0</v>
      </c>
      <c r="O74" s="49"/>
      <c r="P74" s="49"/>
      <c r="Q74" s="49"/>
      <c r="R74" s="49"/>
      <c r="S74" s="49"/>
    </row>
    <row r="75" spans="1:21">
      <c r="A75" s="598" t="s">
        <v>501</v>
      </c>
      <c r="B75" s="104"/>
      <c r="C75" s="105"/>
      <c r="D75" s="589">
        <v>0</v>
      </c>
      <c r="E75" s="49">
        <f t="shared" si="0"/>
        <v>5.3594838918708129E-2</v>
      </c>
      <c r="F75" s="49">
        <f t="shared" si="1"/>
        <v>0</v>
      </c>
      <c r="G75" s="589">
        <v>0</v>
      </c>
      <c r="H75" s="49">
        <f t="shared" si="2"/>
        <v>9.5297692615814805E-2</v>
      </c>
      <c r="I75" s="49">
        <f t="shared" si="3"/>
        <v>0</v>
      </c>
      <c r="J75" s="173">
        <v>0</v>
      </c>
      <c r="K75" s="49">
        <f t="shared" si="4"/>
        <v>0</v>
      </c>
      <c r="L75" s="589">
        <v>0</v>
      </c>
      <c r="M75" s="599">
        <f t="shared" si="5"/>
        <v>0</v>
      </c>
      <c r="O75" s="49"/>
      <c r="P75" s="49"/>
      <c r="Q75" s="49"/>
      <c r="R75" s="49"/>
      <c r="S75" s="49"/>
    </row>
    <row r="76" spans="1:21">
      <c r="A76" s="598" t="s">
        <v>501</v>
      </c>
      <c r="B76" s="104"/>
      <c r="C76" s="105"/>
      <c r="D76" s="589">
        <v>0</v>
      </c>
      <c r="E76" s="49">
        <f t="shared" si="0"/>
        <v>5.3594838918708129E-2</v>
      </c>
      <c r="F76" s="49">
        <f t="shared" si="1"/>
        <v>0</v>
      </c>
      <c r="G76" s="589">
        <v>0</v>
      </c>
      <c r="H76" s="49">
        <f t="shared" si="2"/>
        <v>9.5297692615814805E-2</v>
      </c>
      <c r="I76" s="49">
        <f t="shared" si="3"/>
        <v>0</v>
      </c>
      <c r="J76" s="173">
        <v>0</v>
      </c>
      <c r="K76" s="49">
        <f t="shared" si="4"/>
        <v>0</v>
      </c>
      <c r="L76" s="589">
        <v>0</v>
      </c>
      <c r="M76" s="599">
        <f t="shared" si="5"/>
        <v>0</v>
      </c>
      <c r="O76" s="49"/>
      <c r="P76" s="49"/>
      <c r="Q76" s="49"/>
      <c r="R76" s="49"/>
      <c r="S76" s="49"/>
    </row>
    <row r="77" spans="1:21">
      <c r="A77" s="598" t="s">
        <v>501</v>
      </c>
      <c r="B77" s="104"/>
      <c r="C77" s="105"/>
      <c r="D77" s="589">
        <v>0</v>
      </c>
      <c r="E77" s="49">
        <f t="shared" si="0"/>
        <v>5.3594838918708129E-2</v>
      </c>
      <c r="F77" s="49">
        <f t="shared" si="1"/>
        <v>0</v>
      </c>
      <c r="G77" s="589">
        <v>0</v>
      </c>
      <c r="H77" s="49">
        <f t="shared" si="2"/>
        <v>9.5297692615814805E-2</v>
      </c>
      <c r="I77" s="49">
        <f t="shared" si="3"/>
        <v>0</v>
      </c>
      <c r="J77" s="173">
        <v>0</v>
      </c>
      <c r="K77" s="49">
        <f t="shared" si="4"/>
        <v>0</v>
      </c>
      <c r="L77" s="589">
        <v>0</v>
      </c>
      <c r="M77" s="599">
        <f t="shared" si="5"/>
        <v>0</v>
      </c>
      <c r="O77" s="49"/>
      <c r="P77" s="49"/>
      <c r="Q77" s="49"/>
      <c r="R77" s="49"/>
      <c r="S77" s="49"/>
    </row>
    <row r="78" spans="1:21">
      <c r="A78" s="598" t="s">
        <v>501</v>
      </c>
      <c r="B78" s="104"/>
      <c r="C78" s="105"/>
      <c r="D78" s="589">
        <v>0</v>
      </c>
      <c r="E78" s="49">
        <f t="shared" si="0"/>
        <v>5.3594838918708129E-2</v>
      </c>
      <c r="F78" s="49">
        <f t="shared" si="1"/>
        <v>0</v>
      </c>
      <c r="G78" s="589">
        <v>0</v>
      </c>
      <c r="H78" s="49">
        <f t="shared" si="2"/>
        <v>9.5297692615814805E-2</v>
      </c>
      <c r="I78" s="49">
        <f t="shared" si="3"/>
        <v>0</v>
      </c>
      <c r="J78" s="173">
        <v>0</v>
      </c>
      <c r="K78" s="49">
        <f t="shared" si="4"/>
        <v>0</v>
      </c>
      <c r="L78" s="589">
        <v>0</v>
      </c>
      <c r="M78" s="599">
        <f t="shared" si="5"/>
        <v>0</v>
      </c>
      <c r="O78" s="49"/>
      <c r="P78" s="49"/>
      <c r="Q78" s="49"/>
      <c r="R78" s="49"/>
      <c r="S78" s="49"/>
    </row>
    <row r="79" spans="1:21">
      <c r="A79" s="598" t="s">
        <v>501</v>
      </c>
      <c r="B79" s="104"/>
      <c r="C79" s="105"/>
      <c r="D79" s="589">
        <v>0</v>
      </c>
      <c r="E79" s="49">
        <f t="shared" si="0"/>
        <v>5.3594838918708129E-2</v>
      </c>
      <c r="F79" s="49">
        <f t="shared" si="1"/>
        <v>0</v>
      </c>
      <c r="G79" s="589">
        <v>0</v>
      </c>
      <c r="H79" s="49">
        <f t="shared" si="2"/>
        <v>9.5297692615814805E-2</v>
      </c>
      <c r="I79" s="49">
        <f t="shared" si="3"/>
        <v>0</v>
      </c>
      <c r="J79" s="173">
        <v>0</v>
      </c>
      <c r="K79" s="49">
        <f t="shared" si="4"/>
        <v>0</v>
      </c>
      <c r="L79" s="589">
        <v>0</v>
      </c>
      <c r="M79" s="599">
        <f t="shared" si="5"/>
        <v>0</v>
      </c>
      <c r="O79" s="49"/>
      <c r="P79" s="49"/>
      <c r="Q79" s="49"/>
      <c r="R79" s="49"/>
      <c r="S79" s="49"/>
    </row>
    <row r="80" spans="1:21">
      <c r="A80" s="598" t="s">
        <v>501</v>
      </c>
      <c r="B80" s="104"/>
      <c r="C80" s="105"/>
      <c r="D80" s="589">
        <v>0</v>
      </c>
      <c r="E80" s="49">
        <f t="shared" si="0"/>
        <v>5.3594838918708129E-2</v>
      </c>
      <c r="F80" s="49">
        <f t="shared" si="1"/>
        <v>0</v>
      </c>
      <c r="G80" s="589">
        <v>0</v>
      </c>
      <c r="H80" s="49">
        <f t="shared" si="2"/>
        <v>9.5297692615814805E-2</v>
      </c>
      <c r="I80" s="49">
        <f t="shared" si="3"/>
        <v>0</v>
      </c>
      <c r="J80" s="173">
        <v>0</v>
      </c>
      <c r="K80" s="49">
        <f t="shared" si="4"/>
        <v>0</v>
      </c>
      <c r="L80" s="589">
        <v>0</v>
      </c>
      <c r="M80" s="599">
        <f t="shared" si="5"/>
        <v>0</v>
      </c>
      <c r="O80" s="49"/>
      <c r="P80" s="49"/>
      <c r="Q80" s="49"/>
      <c r="R80" s="49"/>
      <c r="S80" s="49"/>
    </row>
    <row r="81" spans="1:19">
      <c r="A81" s="598" t="s">
        <v>501</v>
      </c>
      <c r="B81" s="104"/>
      <c r="C81" s="105"/>
      <c r="D81" s="589">
        <v>0</v>
      </c>
      <c r="E81" s="49">
        <f t="shared" si="0"/>
        <v>5.3594838918708129E-2</v>
      </c>
      <c r="F81" s="49">
        <f t="shared" si="1"/>
        <v>0</v>
      </c>
      <c r="G81" s="589">
        <v>0</v>
      </c>
      <c r="H81" s="49">
        <f t="shared" si="2"/>
        <v>9.5297692615814805E-2</v>
      </c>
      <c r="I81" s="49">
        <f t="shared" si="3"/>
        <v>0</v>
      </c>
      <c r="J81" s="173">
        <v>0</v>
      </c>
      <c r="K81" s="49">
        <f t="shared" si="4"/>
        <v>0</v>
      </c>
      <c r="L81" s="589">
        <v>0</v>
      </c>
      <c r="M81" s="599">
        <f t="shared" si="5"/>
        <v>0</v>
      </c>
      <c r="O81" s="49"/>
      <c r="P81" s="49"/>
      <c r="Q81" s="49"/>
      <c r="R81" s="49"/>
      <c r="S81" s="49"/>
    </row>
    <row r="82" spans="1:19">
      <c r="A82" s="598" t="s">
        <v>501</v>
      </c>
      <c r="C82" s="44"/>
      <c r="D82" s="589">
        <v>0</v>
      </c>
      <c r="E82" s="49">
        <f t="shared" si="0"/>
        <v>5.3594838918708129E-2</v>
      </c>
      <c r="F82" s="49">
        <f t="shared" si="1"/>
        <v>0</v>
      </c>
      <c r="G82" s="589">
        <v>0</v>
      </c>
      <c r="H82" s="49">
        <f t="shared" si="2"/>
        <v>9.5297692615814805E-2</v>
      </c>
      <c r="I82" s="49">
        <f t="shared" si="3"/>
        <v>0</v>
      </c>
      <c r="J82" s="173">
        <v>0</v>
      </c>
      <c r="K82" s="49">
        <f t="shared" si="4"/>
        <v>0</v>
      </c>
      <c r="L82" s="589">
        <v>0</v>
      </c>
      <c r="M82" s="599">
        <f t="shared" si="5"/>
        <v>0</v>
      </c>
      <c r="O82" s="49"/>
      <c r="P82" s="49"/>
      <c r="Q82" s="49"/>
      <c r="R82" s="49"/>
      <c r="S82" s="49"/>
    </row>
    <row r="83" spans="1:19">
      <c r="A83" s="598" t="s">
        <v>501</v>
      </c>
      <c r="C83" s="44"/>
      <c r="D83" s="589">
        <v>0</v>
      </c>
      <c r="E83" s="49">
        <f t="shared" si="0"/>
        <v>5.3594838918708129E-2</v>
      </c>
      <c r="F83" s="49">
        <f t="shared" si="1"/>
        <v>0</v>
      </c>
      <c r="G83" s="589">
        <v>0</v>
      </c>
      <c r="H83" s="49">
        <f t="shared" si="2"/>
        <v>9.5297692615814805E-2</v>
      </c>
      <c r="I83" s="49">
        <f t="shared" si="3"/>
        <v>0</v>
      </c>
      <c r="J83" s="173">
        <v>0</v>
      </c>
      <c r="K83" s="49">
        <f t="shared" si="4"/>
        <v>0</v>
      </c>
      <c r="L83" s="589">
        <v>0</v>
      </c>
      <c r="M83" s="599">
        <f t="shared" si="5"/>
        <v>0</v>
      </c>
      <c r="O83" s="49"/>
      <c r="P83" s="49"/>
      <c r="Q83" s="49"/>
      <c r="R83" s="49"/>
      <c r="S83" s="49"/>
    </row>
    <row r="84" spans="1:19">
      <c r="A84" s="598" t="s">
        <v>501</v>
      </c>
      <c r="C84" s="44"/>
      <c r="D84" s="589">
        <v>0</v>
      </c>
      <c r="E84" s="49">
        <f t="shared" si="0"/>
        <v>5.3594838918708129E-2</v>
      </c>
      <c r="F84" s="49">
        <f t="shared" si="1"/>
        <v>0</v>
      </c>
      <c r="G84" s="589">
        <v>0</v>
      </c>
      <c r="H84" s="49">
        <f t="shared" si="2"/>
        <v>9.5297692615814805E-2</v>
      </c>
      <c r="I84" s="49">
        <f t="shared" si="3"/>
        <v>0</v>
      </c>
      <c r="J84" s="173">
        <v>0</v>
      </c>
      <c r="K84" s="49">
        <f t="shared" si="4"/>
        <v>0</v>
      </c>
      <c r="L84" s="589">
        <v>0</v>
      </c>
      <c r="M84" s="599">
        <f t="shared" si="5"/>
        <v>0</v>
      </c>
      <c r="O84" s="49"/>
      <c r="P84" s="49"/>
      <c r="Q84" s="49"/>
      <c r="R84" s="49"/>
      <c r="S84" s="49"/>
    </row>
    <row r="85" spans="1:19">
      <c r="A85" s="598" t="s">
        <v>501</v>
      </c>
      <c r="C85" s="44"/>
      <c r="D85" s="589">
        <v>0</v>
      </c>
      <c r="E85" s="49">
        <f t="shared" si="0"/>
        <v>5.3594838918708129E-2</v>
      </c>
      <c r="F85" s="49">
        <f t="shared" si="1"/>
        <v>0</v>
      </c>
      <c r="G85" s="589">
        <v>0</v>
      </c>
      <c r="H85" s="49">
        <f t="shared" si="2"/>
        <v>9.5297692615814805E-2</v>
      </c>
      <c r="I85" s="49">
        <f t="shared" si="3"/>
        <v>0</v>
      </c>
      <c r="J85" s="173">
        <v>0</v>
      </c>
      <c r="K85" s="49">
        <f t="shared" si="4"/>
        <v>0</v>
      </c>
      <c r="L85" s="589">
        <v>0</v>
      </c>
      <c r="M85" s="599">
        <f t="shared" si="5"/>
        <v>0</v>
      </c>
      <c r="O85" s="49"/>
      <c r="P85" s="49"/>
      <c r="Q85" s="49"/>
      <c r="R85" s="49"/>
      <c r="S85" s="49"/>
    </row>
    <row r="86" spans="1:19" ht="13.5" thickBot="1">
      <c r="A86" s="596"/>
      <c r="B86" s="114"/>
      <c r="C86" s="114"/>
      <c r="D86" s="114"/>
      <c r="E86" s="114"/>
      <c r="F86" s="114"/>
      <c r="G86" s="114"/>
      <c r="H86" s="114"/>
      <c r="I86" s="114"/>
      <c r="J86" s="114"/>
      <c r="K86" s="587"/>
      <c r="L86" s="600"/>
      <c r="M86" s="601"/>
      <c r="O86" s="591"/>
      <c r="P86" s="591"/>
      <c r="Q86" s="591"/>
      <c r="S86" s="48"/>
    </row>
    <row r="87" spans="1:19">
      <c r="A87" s="58" t="s">
        <v>265</v>
      </c>
      <c r="B87" s="81"/>
      <c r="C87" s="25" t="s">
        <v>251</v>
      </c>
      <c r="D87" s="25"/>
      <c r="E87" s="112"/>
      <c r="F87" s="51"/>
      <c r="G87" s="22"/>
      <c r="H87" s="112"/>
      <c r="I87" s="22"/>
      <c r="J87" s="22"/>
      <c r="K87" s="22"/>
      <c r="L87" s="49"/>
      <c r="M87" s="66">
        <f>SUM(M67:M86)</f>
        <v>0</v>
      </c>
      <c r="N87" s="48"/>
      <c r="O87" s="48"/>
      <c r="P87" s="48"/>
      <c r="Q87" s="48"/>
      <c r="R87" s="48"/>
      <c r="S87" s="48"/>
    </row>
    <row r="88" spans="1:19">
      <c r="A88" s="24" t="s">
        <v>73</v>
      </c>
    </row>
    <row r="89" spans="1:19" ht="13.5" thickBot="1">
      <c r="A89" s="114" t="s">
        <v>74</v>
      </c>
    </row>
    <row r="90" spans="1:19">
      <c r="A90" s="115" t="s">
        <v>75</v>
      </c>
      <c r="C90" s="966" t="s">
        <v>719</v>
      </c>
      <c r="D90" s="966"/>
      <c r="E90" s="966"/>
      <c r="F90" s="966"/>
      <c r="G90" s="966"/>
      <c r="H90" s="966"/>
      <c r="I90" s="966"/>
      <c r="J90" s="966"/>
      <c r="K90" s="966"/>
      <c r="L90" s="966"/>
      <c r="M90" s="966"/>
      <c r="N90" s="966"/>
      <c r="O90" s="966"/>
      <c r="P90" s="966"/>
      <c r="Q90" s="966"/>
    </row>
    <row r="91" spans="1:19">
      <c r="A91" s="115" t="s">
        <v>76</v>
      </c>
      <c r="C91" s="966" t="s">
        <v>672</v>
      </c>
      <c r="D91" s="966"/>
      <c r="E91" s="966"/>
      <c r="F91" s="966"/>
      <c r="G91" s="966"/>
      <c r="H91" s="966"/>
      <c r="I91" s="966"/>
      <c r="J91" s="966"/>
      <c r="K91" s="966"/>
      <c r="L91" s="966"/>
      <c r="M91" s="966"/>
      <c r="N91" s="966"/>
      <c r="O91" s="966"/>
      <c r="P91" s="966"/>
      <c r="Q91" s="966"/>
    </row>
    <row r="92" spans="1:19">
      <c r="A92" s="115" t="s">
        <v>77</v>
      </c>
      <c r="C92" s="967" t="s">
        <v>692</v>
      </c>
      <c r="D92" s="967"/>
      <c r="E92" s="967"/>
      <c r="F92" s="967"/>
      <c r="G92" s="967"/>
      <c r="H92" s="967"/>
      <c r="I92" s="967"/>
      <c r="J92" s="967"/>
      <c r="K92" s="967"/>
      <c r="L92" s="967"/>
      <c r="M92" s="967"/>
      <c r="N92" s="967"/>
      <c r="O92" s="967"/>
      <c r="P92" s="967"/>
      <c r="Q92" s="967"/>
    </row>
    <row r="93" spans="1:19">
      <c r="C93" s="24" t="s">
        <v>675</v>
      </c>
    </row>
    <row r="94" spans="1:19">
      <c r="A94" s="115" t="s">
        <v>78</v>
      </c>
      <c r="C94" s="967" t="s">
        <v>961</v>
      </c>
      <c r="D94" s="967"/>
      <c r="E94" s="967"/>
      <c r="F94" s="967"/>
      <c r="G94" s="967"/>
      <c r="H94" s="967"/>
      <c r="I94" s="967"/>
      <c r="J94" s="967"/>
      <c r="K94" s="967"/>
      <c r="L94" s="967"/>
      <c r="M94" s="967"/>
      <c r="N94" s="967"/>
      <c r="O94" s="967"/>
      <c r="P94" s="967"/>
      <c r="Q94" s="967"/>
    </row>
    <row r="95" spans="1:19">
      <c r="A95" s="51" t="s">
        <v>79</v>
      </c>
      <c r="C95" s="965" t="s">
        <v>674</v>
      </c>
      <c r="D95" s="965"/>
      <c r="E95" s="965"/>
      <c r="F95" s="965"/>
      <c r="G95" s="965"/>
      <c r="H95" s="965"/>
      <c r="I95" s="965"/>
      <c r="J95" s="965"/>
      <c r="K95" s="965"/>
      <c r="L95" s="965"/>
      <c r="M95" s="965"/>
      <c r="N95" s="965"/>
      <c r="O95" s="965"/>
      <c r="P95" s="965"/>
      <c r="Q95" s="965"/>
    </row>
    <row r="96" spans="1:19">
      <c r="A96" s="51" t="s">
        <v>80</v>
      </c>
      <c r="C96" s="965" t="s">
        <v>721</v>
      </c>
      <c r="D96" s="965"/>
      <c r="E96" s="965"/>
      <c r="F96" s="965"/>
      <c r="G96" s="965"/>
      <c r="H96" s="965"/>
      <c r="I96" s="965"/>
      <c r="J96" s="965"/>
      <c r="K96" s="965"/>
      <c r="L96" s="965"/>
      <c r="M96" s="965"/>
      <c r="N96" s="965"/>
      <c r="O96" s="965"/>
      <c r="P96" s="965"/>
      <c r="Q96" s="965"/>
    </row>
    <row r="97" spans="1:17">
      <c r="A97" s="51" t="s">
        <v>81</v>
      </c>
      <c r="C97" s="24" t="s">
        <v>571</v>
      </c>
    </row>
    <row r="98" spans="1:17">
      <c r="A98" s="58" t="s">
        <v>83</v>
      </c>
      <c r="C98" s="87" t="s">
        <v>788</v>
      </c>
      <c r="D98" s="58"/>
      <c r="E98" s="51"/>
      <c r="F98" s="51"/>
      <c r="G98" s="22"/>
      <c r="J98" s="72"/>
      <c r="P98" s="22"/>
      <c r="Q98" s="53"/>
    </row>
    <row r="99" spans="1:17">
      <c r="A99" s="58" t="s">
        <v>84</v>
      </c>
      <c r="C99" s="24" t="s">
        <v>962</v>
      </c>
      <c r="D99" s="58"/>
      <c r="E99" s="51"/>
      <c r="F99" s="51"/>
      <c r="G99" s="22"/>
      <c r="J99" s="72"/>
      <c r="P99" s="22"/>
      <c r="Q99" s="69"/>
    </row>
    <row r="100" spans="1:17">
      <c r="A100" s="51"/>
      <c r="C100" s="15"/>
    </row>
    <row r="101" spans="1:17">
      <c r="A101" s="51"/>
    </row>
    <row r="282" spans="1:11">
      <c r="A282" s="133"/>
      <c r="B282" s="226"/>
      <c r="C282" s="133"/>
      <c r="D282" s="28"/>
      <c r="E282" s="28"/>
      <c r="F282" s="28"/>
      <c r="G282" s="28"/>
      <c r="H282" s="27"/>
      <c r="I282" s="216"/>
      <c r="J282" s="222"/>
      <c r="K282" s="222"/>
    </row>
  </sheetData>
  <mergeCells count="7">
    <mergeCell ref="C12:Q12"/>
    <mergeCell ref="C96:Q96"/>
    <mergeCell ref="C90:Q90"/>
    <mergeCell ref="C91:Q91"/>
    <mergeCell ref="C92:Q92"/>
    <mergeCell ref="C94:Q94"/>
    <mergeCell ref="C95:Q95"/>
  </mergeCells>
  <pageMargins left="0.25" right="0.25" top="0.75" bottom="0.75" header="0.3" footer="0.3"/>
  <pageSetup scale="58" fitToHeight="0" orientation="landscape" verticalDpi="300" r:id="rId1"/>
  <rowBreaks count="3" manualBreakCount="3">
    <brk id="51" max="16383" man="1"/>
    <brk id="100" max="18" man="1"/>
    <brk id="102" max="18" man="1"/>
  </rowBreaks>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92D050"/>
    <pageSetUpPr fitToPage="1"/>
  </sheetPr>
  <dimension ref="A1:T210"/>
  <sheetViews>
    <sheetView topLeftCell="A80" workbookViewId="0"/>
  </sheetViews>
  <sheetFormatPr defaultRowHeight="15.5"/>
  <cols>
    <col min="2" max="2" width="1.765625" customWidth="1"/>
    <col min="3" max="3" width="39.69140625" customWidth="1"/>
    <col min="4" max="4" width="29.4609375" customWidth="1"/>
    <col min="5" max="5" width="13" customWidth="1"/>
    <col min="6" max="6" width="6.3046875" customWidth="1"/>
    <col min="7" max="7" width="11.84375" customWidth="1"/>
    <col min="8" max="8" width="11.69140625" customWidth="1"/>
    <col min="9" max="9" width="2.07421875" customWidth="1"/>
    <col min="10" max="10" width="11.69140625" customWidth="1"/>
    <col min="11" max="11" width="10.84375" customWidth="1"/>
    <col min="12" max="12" width="10.765625" customWidth="1"/>
    <col min="13" max="13" width="9.53515625" customWidth="1"/>
  </cols>
  <sheetData>
    <row r="1" spans="1:20">
      <c r="A1" s="24"/>
      <c r="B1" s="24"/>
      <c r="C1" s="24"/>
      <c r="D1" s="24"/>
      <c r="E1" s="24"/>
      <c r="F1" s="24"/>
      <c r="G1" s="24"/>
      <c r="H1" s="24"/>
      <c r="I1" s="24"/>
      <c r="J1" s="24"/>
      <c r="K1" s="24"/>
      <c r="L1" s="24"/>
    </row>
    <row r="2" spans="1:20">
      <c r="A2" s="24"/>
      <c r="B2" s="24"/>
      <c r="C2" s="24"/>
      <c r="D2" s="24"/>
      <c r="E2" s="24"/>
      <c r="F2" s="24"/>
      <c r="G2" s="24"/>
      <c r="H2" s="24"/>
      <c r="I2" s="24"/>
      <c r="J2" s="24"/>
      <c r="K2" s="24"/>
      <c r="O2" s="24" t="s">
        <v>792</v>
      </c>
    </row>
    <row r="3" spans="1:20">
      <c r="A3" s="24"/>
      <c r="B3" s="24"/>
      <c r="C3" s="24"/>
      <c r="D3" s="24"/>
      <c r="E3" s="24"/>
      <c r="F3" s="24"/>
      <c r="G3" s="24"/>
      <c r="H3" s="24"/>
      <c r="I3" s="24"/>
      <c r="J3" s="24"/>
      <c r="K3" s="24"/>
      <c r="L3" s="24"/>
    </row>
    <row r="4" spans="1:20">
      <c r="A4" s="24"/>
      <c r="B4" s="24"/>
      <c r="C4" s="24"/>
      <c r="D4" s="24"/>
      <c r="E4" s="24"/>
      <c r="F4" s="24"/>
      <c r="G4" s="51" t="str">
        <f>'11-Wholesale Distribution'!G56</f>
        <v>Attachment 11</v>
      </c>
      <c r="H4" s="24"/>
      <c r="I4" s="24"/>
      <c r="J4" s="24"/>
      <c r="K4" s="24"/>
      <c r="L4" s="24"/>
    </row>
    <row r="5" spans="1:20">
      <c r="A5" s="24"/>
      <c r="B5" s="24"/>
      <c r="C5" s="24"/>
      <c r="D5" s="24"/>
      <c r="E5" s="24"/>
      <c r="F5" s="24"/>
      <c r="G5" s="51" t="str">
        <f>'11-Wholesale Distribution'!G57</f>
        <v>Wholesale Distribution Service</v>
      </c>
      <c r="H5" s="24"/>
      <c r="I5" s="24"/>
      <c r="J5" s="24"/>
      <c r="K5" s="24"/>
      <c r="L5" s="24"/>
    </row>
    <row r="6" spans="1:20">
      <c r="A6" s="24"/>
      <c r="B6" s="24"/>
      <c r="C6" s="24"/>
      <c r="D6" s="24"/>
      <c r="E6" s="24"/>
      <c r="F6" s="24"/>
      <c r="G6" s="51" t="str">
        <f>'11-Wholesale Distribution'!G58</f>
        <v>Gridliance High Plains LLC</v>
      </c>
      <c r="H6" s="24"/>
      <c r="I6" s="24"/>
      <c r="J6" s="24"/>
      <c r="K6" s="24"/>
      <c r="L6" s="24"/>
    </row>
    <row r="7" spans="1:20">
      <c r="A7" s="24"/>
      <c r="B7" s="24"/>
      <c r="C7" s="24"/>
      <c r="D7" s="24"/>
      <c r="E7" s="24"/>
      <c r="F7" s="24"/>
      <c r="G7" s="24"/>
      <c r="H7" s="24"/>
      <c r="I7" s="24"/>
      <c r="J7" s="24"/>
      <c r="K7" s="24"/>
      <c r="L7" s="24"/>
    </row>
    <row r="8" spans="1:20" ht="16" thickBot="1">
      <c r="A8" s="20"/>
      <c r="B8" s="24"/>
      <c r="C8" s="88">
        <v>-1</v>
      </c>
      <c r="D8" s="88">
        <v>-2</v>
      </c>
      <c r="E8" s="88">
        <v>-3</v>
      </c>
      <c r="F8" s="15"/>
      <c r="G8" s="88">
        <v>-4</v>
      </c>
      <c r="H8" s="88">
        <v>-5</v>
      </c>
      <c r="I8" s="15"/>
      <c r="J8" s="88">
        <v>-6</v>
      </c>
      <c r="K8" s="88">
        <v>-7</v>
      </c>
      <c r="L8" s="88">
        <v>-8</v>
      </c>
      <c r="M8" s="88">
        <v>-9</v>
      </c>
      <c r="N8" s="88">
        <v>-10</v>
      </c>
      <c r="O8" s="88">
        <v>-11</v>
      </c>
      <c r="P8" s="88"/>
      <c r="Q8" s="88"/>
      <c r="R8" s="235"/>
      <c r="S8" s="235"/>
      <c r="T8" s="235"/>
    </row>
    <row r="9" spans="1:20" ht="66" thickBot="1">
      <c r="A9" s="567" t="s">
        <v>239</v>
      </c>
      <c r="B9" s="568"/>
      <c r="C9" s="568" t="s">
        <v>787</v>
      </c>
      <c r="D9" s="569" t="s">
        <v>240</v>
      </c>
      <c r="E9" s="569" t="s">
        <v>823</v>
      </c>
      <c r="F9" s="606"/>
      <c r="G9" s="570" t="s">
        <v>241</v>
      </c>
      <c r="H9" s="569" t="s">
        <v>242</v>
      </c>
      <c r="I9" s="606"/>
      <c r="J9" s="569" t="s">
        <v>824</v>
      </c>
      <c r="K9" s="570" t="s">
        <v>243</v>
      </c>
      <c r="L9" s="569" t="s">
        <v>269</v>
      </c>
      <c r="M9" s="571" t="s">
        <v>977</v>
      </c>
      <c r="N9" s="571" t="s">
        <v>928</v>
      </c>
      <c r="O9" s="572" t="s">
        <v>827</v>
      </c>
      <c r="P9" s="562"/>
    </row>
    <row r="10" spans="1:20">
      <c r="A10" s="581" t="s">
        <v>802</v>
      </c>
      <c r="B10" s="582"/>
      <c r="C10" s="583" t="s">
        <v>832</v>
      </c>
      <c r="D10" s="611">
        <f>+'Attachment H'!D65</f>
        <v>0</v>
      </c>
      <c r="E10" s="584">
        <f>+K169</f>
        <v>0</v>
      </c>
      <c r="F10" s="584"/>
      <c r="G10" s="584">
        <f>+D10*E10</f>
        <v>0</v>
      </c>
      <c r="H10" s="611">
        <v>0</v>
      </c>
      <c r="I10" s="582"/>
      <c r="J10" s="585">
        <f>+K172</f>
        <v>0</v>
      </c>
      <c r="K10" s="584">
        <f>+H10*J10</f>
        <v>0</v>
      </c>
      <c r="L10" s="586">
        <v>0</v>
      </c>
      <c r="M10" s="607">
        <f>+G10+K10+L10</f>
        <v>0</v>
      </c>
      <c r="N10" s="586">
        <v>0</v>
      </c>
      <c r="O10" s="608">
        <f>+M10*N10</f>
        <v>0</v>
      </c>
      <c r="P10" s="15"/>
    </row>
    <row r="11" spans="1:20">
      <c r="A11" s="573" t="s">
        <v>803</v>
      </c>
      <c r="B11" s="24"/>
      <c r="C11" s="566"/>
      <c r="D11" s="566"/>
      <c r="E11" s="49">
        <f>+E10</f>
        <v>0</v>
      </c>
      <c r="F11" s="49"/>
      <c r="G11" s="49">
        <f t="shared" ref="G11:G14" si="0">+D11*E11</f>
        <v>0</v>
      </c>
      <c r="H11" s="580">
        <v>0</v>
      </c>
      <c r="I11" s="49"/>
      <c r="J11" s="49">
        <f>+J10</f>
        <v>0</v>
      </c>
      <c r="K11" s="49">
        <f t="shared" ref="K11:K14" si="1">+H11*J11</f>
        <v>0</v>
      </c>
      <c r="L11" s="580">
        <v>0</v>
      </c>
      <c r="M11" s="579">
        <f t="shared" ref="M11:M14" si="2">+G11+K11+L11</f>
        <v>0</v>
      </c>
      <c r="N11" s="580">
        <v>0</v>
      </c>
      <c r="O11" s="609">
        <f>+M11*N11</f>
        <v>0</v>
      </c>
      <c r="P11" s="15"/>
    </row>
    <row r="12" spans="1:20">
      <c r="A12" s="573" t="s">
        <v>804</v>
      </c>
      <c r="B12" s="24"/>
      <c r="C12" s="566"/>
      <c r="D12" s="566"/>
      <c r="E12" s="49">
        <f>+E11</f>
        <v>0</v>
      </c>
      <c r="F12" s="49"/>
      <c r="G12" s="49">
        <f t="shared" si="0"/>
        <v>0</v>
      </c>
      <c r="H12" s="580">
        <v>0</v>
      </c>
      <c r="I12" s="49"/>
      <c r="J12" s="49">
        <f>+J11</f>
        <v>0</v>
      </c>
      <c r="K12" s="49">
        <f t="shared" si="1"/>
        <v>0</v>
      </c>
      <c r="L12" s="580">
        <v>0</v>
      </c>
      <c r="M12" s="579">
        <f t="shared" si="2"/>
        <v>0</v>
      </c>
      <c r="N12" s="580">
        <v>0</v>
      </c>
      <c r="O12" s="609">
        <f>+M12*N12</f>
        <v>0</v>
      </c>
      <c r="P12" s="15"/>
    </row>
    <row r="13" spans="1:20">
      <c r="A13" s="573" t="s">
        <v>805</v>
      </c>
      <c r="B13" s="24"/>
      <c r="C13" s="566"/>
      <c r="D13" s="566"/>
      <c r="E13" s="49">
        <f>+E12</f>
        <v>0</v>
      </c>
      <c r="F13" s="49"/>
      <c r="G13" s="49">
        <f t="shared" si="0"/>
        <v>0</v>
      </c>
      <c r="H13" s="580">
        <v>0</v>
      </c>
      <c r="I13" s="49"/>
      <c r="J13" s="49">
        <f>+J12</f>
        <v>0</v>
      </c>
      <c r="K13" s="49">
        <f t="shared" si="1"/>
        <v>0</v>
      </c>
      <c r="L13" s="580">
        <v>0</v>
      </c>
      <c r="M13" s="579">
        <f t="shared" si="2"/>
        <v>0</v>
      </c>
      <c r="N13" s="580">
        <v>0</v>
      </c>
      <c r="O13" s="609">
        <f>+M13*N13</f>
        <v>0</v>
      </c>
      <c r="P13" s="15"/>
    </row>
    <row r="14" spans="1:20" ht="16" thickBot="1">
      <c r="A14" s="574" t="s">
        <v>501</v>
      </c>
      <c r="B14" s="114"/>
      <c r="C14" s="575"/>
      <c r="D14" s="575"/>
      <c r="E14" s="587">
        <f>+E13</f>
        <v>0</v>
      </c>
      <c r="F14" s="587"/>
      <c r="G14" s="587">
        <f t="shared" si="0"/>
        <v>0</v>
      </c>
      <c r="H14" s="588">
        <v>0</v>
      </c>
      <c r="I14" s="587"/>
      <c r="J14" s="587">
        <f>+J13</f>
        <v>0</v>
      </c>
      <c r="K14" s="587">
        <f t="shared" si="1"/>
        <v>0</v>
      </c>
      <c r="L14" s="588">
        <v>0</v>
      </c>
      <c r="M14" s="42">
        <f t="shared" si="2"/>
        <v>0</v>
      </c>
      <c r="N14" s="588">
        <v>0</v>
      </c>
      <c r="O14" s="610">
        <f>+M14*N14</f>
        <v>0</v>
      </c>
      <c r="P14" s="15"/>
    </row>
    <row r="15" spans="1:20">
      <c r="A15" s="51" t="s">
        <v>806</v>
      </c>
      <c r="B15" s="24"/>
      <c r="C15" s="24" t="s">
        <v>21</v>
      </c>
      <c r="D15" s="24"/>
      <c r="E15" s="24"/>
      <c r="F15" s="24"/>
      <c r="G15" s="24"/>
      <c r="H15" s="24"/>
      <c r="I15" s="24"/>
      <c r="J15" s="24"/>
      <c r="K15" s="24"/>
      <c r="L15" s="24"/>
      <c r="M15" s="15"/>
      <c r="N15" s="15"/>
      <c r="O15" s="584">
        <f>SUM(O10:O14)</f>
        <v>0</v>
      </c>
      <c r="P15" s="15"/>
    </row>
    <row r="16" spans="1:20">
      <c r="A16" s="51"/>
      <c r="B16" s="24"/>
      <c r="C16" s="24"/>
      <c r="D16" s="24"/>
      <c r="E16" s="24"/>
      <c r="F16" s="24"/>
      <c r="G16" s="24"/>
      <c r="H16" s="24"/>
      <c r="I16" s="24"/>
      <c r="J16" s="24"/>
      <c r="K16" s="24"/>
      <c r="L16" s="24"/>
      <c r="M16" s="15"/>
      <c r="N16" s="15"/>
      <c r="O16" s="48"/>
      <c r="P16" s="15"/>
    </row>
    <row r="17" spans="1:16">
      <c r="A17" s="51"/>
      <c r="B17" s="24"/>
      <c r="C17" s="24" t="s">
        <v>929</v>
      </c>
      <c r="D17" s="24"/>
      <c r="E17" s="24"/>
      <c r="F17" s="24"/>
      <c r="G17" s="24"/>
      <c r="H17" s="24"/>
      <c r="I17" s="24"/>
      <c r="J17" s="24"/>
      <c r="K17" s="24"/>
      <c r="L17" s="24"/>
      <c r="M17" s="15"/>
      <c r="N17" s="15"/>
      <c r="O17" s="48"/>
      <c r="P17" s="15"/>
    </row>
    <row r="18" spans="1:16">
      <c r="A18" s="51"/>
      <c r="B18" s="24"/>
      <c r="C18" s="24" t="s">
        <v>932</v>
      </c>
      <c r="D18" s="24"/>
      <c r="E18" s="24"/>
      <c r="F18" s="24"/>
      <c r="G18" s="24"/>
      <c r="H18" s="24"/>
      <c r="I18" s="24"/>
      <c r="J18" s="24"/>
      <c r="K18" s="24"/>
      <c r="M18" s="15"/>
      <c r="N18" s="15"/>
      <c r="O18" s="48"/>
      <c r="P18" s="15"/>
    </row>
    <row r="19" spans="1:16">
      <c r="A19" s="51"/>
      <c r="B19" s="24"/>
      <c r="C19" s="24"/>
      <c r="D19" s="24"/>
      <c r="E19" s="24"/>
      <c r="F19" s="24"/>
      <c r="G19" s="51" t="s">
        <v>786</v>
      </c>
      <c r="H19" s="24"/>
      <c r="I19" s="24"/>
      <c r="J19" s="24"/>
      <c r="K19" s="24"/>
      <c r="L19" s="24"/>
      <c r="M19" s="15"/>
      <c r="N19" s="15"/>
      <c r="O19" s="24" t="s">
        <v>789</v>
      </c>
      <c r="P19" s="15"/>
    </row>
    <row r="20" spans="1:16">
      <c r="A20" s="51"/>
      <c r="B20" s="24"/>
      <c r="C20" s="24"/>
      <c r="D20" s="24"/>
      <c r="E20" s="24"/>
      <c r="F20" s="24"/>
      <c r="G20" s="51" t="s">
        <v>787</v>
      </c>
      <c r="H20" s="24"/>
      <c r="I20" s="24"/>
      <c r="J20" s="24"/>
      <c r="K20" s="24"/>
      <c r="L20" s="24"/>
      <c r="M20" s="15"/>
      <c r="N20" s="15"/>
      <c r="O20" s="48"/>
      <c r="P20" s="15"/>
    </row>
    <row r="21" spans="1:16">
      <c r="A21" s="51"/>
      <c r="B21" s="24"/>
      <c r="C21" s="24"/>
      <c r="D21" s="24"/>
      <c r="E21" s="24"/>
      <c r="F21" s="24"/>
      <c r="G21" s="51" t="s">
        <v>860</v>
      </c>
      <c r="H21" s="24"/>
      <c r="I21" s="24"/>
      <c r="J21" s="24"/>
      <c r="K21" s="24"/>
      <c r="L21" s="24"/>
      <c r="M21" s="15"/>
      <c r="N21" s="15"/>
      <c r="O21" s="48"/>
      <c r="P21" s="15"/>
    </row>
    <row r="22" spans="1:16">
      <c r="A22" s="51"/>
      <c r="B22" s="24"/>
      <c r="C22" s="24"/>
      <c r="D22" s="24"/>
      <c r="E22" s="24"/>
      <c r="F22" s="24"/>
      <c r="G22" s="24"/>
      <c r="H22" s="24"/>
      <c r="I22" s="24"/>
      <c r="J22" s="24"/>
      <c r="K22" s="24"/>
      <c r="L22" s="24"/>
      <c r="M22" s="15"/>
      <c r="N22" s="15"/>
      <c r="O22" s="48"/>
      <c r="P22" s="15"/>
    </row>
    <row r="23" spans="1:16">
      <c r="A23" s="51"/>
      <c r="B23" s="24"/>
      <c r="C23" s="24"/>
      <c r="D23" s="24"/>
      <c r="E23" s="24"/>
      <c r="F23" s="24"/>
      <c r="G23" s="24"/>
      <c r="H23" s="24"/>
      <c r="I23" s="24"/>
      <c r="J23" s="24"/>
      <c r="K23" s="24"/>
      <c r="L23" s="24"/>
      <c r="M23" s="15"/>
      <c r="N23" s="15"/>
      <c r="O23" s="48"/>
      <c r="P23" s="15"/>
    </row>
    <row r="24" spans="1:16">
      <c r="A24" s="51"/>
      <c r="B24" s="24"/>
      <c r="C24" s="24"/>
      <c r="D24" s="24"/>
      <c r="E24" s="24"/>
      <c r="F24" s="24"/>
      <c r="G24" s="24"/>
      <c r="H24" s="24"/>
      <c r="I24" s="24"/>
      <c r="J24" s="24"/>
      <c r="K24" s="24"/>
      <c r="L24" s="24"/>
      <c r="M24" s="15"/>
      <c r="O24" s="15"/>
      <c r="P24" s="15"/>
    </row>
    <row r="25" spans="1:16">
      <c r="A25" s="33"/>
      <c r="B25" s="24"/>
      <c r="C25" s="139" t="s">
        <v>11</v>
      </c>
      <c r="D25" s="139" t="s">
        <v>12</v>
      </c>
      <c r="E25" s="139" t="s">
        <v>13</v>
      </c>
      <c r="F25" s="28" t="s">
        <v>10</v>
      </c>
      <c r="G25" s="28"/>
      <c r="H25" s="138" t="s">
        <v>14</v>
      </c>
      <c r="I25" s="28"/>
      <c r="J25" s="138" t="s">
        <v>15</v>
      </c>
      <c r="K25" s="28"/>
      <c r="L25" s="139"/>
      <c r="M25" s="15"/>
      <c r="N25" s="15"/>
      <c r="O25" s="15"/>
      <c r="P25" s="15"/>
    </row>
    <row r="26" spans="1:16">
      <c r="A26" s="33"/>
      <c r="B26" s="24"/>
      <c r="C26" s="30"/>
      <c r="D26" s="162"/>
      <c r="E26" s="28"/>
      <c r="F26" s="28"/>
      <c r="G26" s="163" t="s">
        <v>28</v>
      </c>
      <c r="H26" s="33"/>
      <c r="I26" s="28"/>
      <c r="J26" s="163" t="s">
        <v>822</v>
      </c>
      <c r="K26" s="28"/>
      <c r="L26" s="139"/>
      <c r="M26" s="15"/>
      <c r="N26" s="15"/>
      <c r="O26" s="15"/>
      <c r="P26" s="15"/>
    </row>
    <row r="27" spans="1:16">
      <c r="A27" s="133" t="s">
        <v>16</v>
      </c>
      <c r="B27" s="24"/>
      <c r="C27" s="30"/>
      <c r="D27" s="164" t="s">
        <v>301</v>
      </c>
      <c r="E27" s="163" t="s">
        <v>27</v>
      </c>
      <c r="F27" s="165"/>
      <c r="G27" s="989" t="s">
        <v>926</v>
      </c>
      <c r="H27" s="989"/>
      <c r="I27" s="165"/>
      <c r="J27" s="133" t="s">
        <v>29</v>
      </c>
      <c r="K27" s="28"/>
      <c r="L27" s="139"/>
    </row>
    <row r="28" spans="1:16" ht="16" thickBot="1">
      <c r="A28" s="32" t="s">
        <v>18</v>
      </c>
      <c r="B28" s="24"/>
      <c r="C28" s="166" t="s">
        <v>569</v>
      </c>
      <c r="D28" s="28"/>
      <c r="E28" s="28"/>
      <c r="F28" s="28"/>
      <c r="G28" s="1013" t="s">
        <v>927</v>
      </c>
      <c r="H28" s="1013"/>
      <c r="I28" s="28"/>
      <c r="J28" s="28"/>
      <c r="K28" s="28"/>
      <c r="L28" s="28"/>
    </row>
    <row r="29" spans="1:16">
      <c r="A29" s="133"/>
      <c r="B29" s="24"/>
      <c r="C29" s="30" t="s">
        <v>795</v>
      </c>
      <c r="D29" s="28"/>
      <c r="E29" s="28"/>
      <c r="F29" s="28"/>
      <c r="G29" s="28"/>
      <c r="H29" s="28"/>
      <c r="I29" s="28"/>
      <c r="J29" s="28"/>
      <c r="K29" s="28"/>
      <c r="L29" s="28"/>
    </row>
    <row r="30" spans="1:16">
      <c r="A30" s="133">
        <v>1</v>
      </c>
      <c r="B30" s="24"/>
      <c r="C30" s="30" t="s">
        <v>420</v>
      </c>
      <c r="D30" s="39" t="str">
        <f>+'Attachment H'!$B$2&amp;", Page 2, Line "&amp;'Attachment H'!A63</f>
        <v>Attachment H, Page 2, Line 1</v>
      </c>
      <c r="E30" s="178">
        <f>+'Attachment H'!D63</f>
        <v>0</v>
      </c>
      <c r="F30" s="28"/>
      <c r="G30" s="28" t="s">
        <v>30</v>
      </c>
      <c r="H30" s="18">
        <v>0</v>
      </c>
      <c r="I30" s="28"/>
      <c r="J30" s="18">
        <f>+H30*E30</f>
        <v>0</v>
      </c>
      <c r="K30" s="28"/>
      <c r="L30" s="28"/>
    </row>
    <row r="31" spans="1:16">
      <c r="A31" s="133">
        <f>+A30+1</f>
        <v>2</v>
      </c>
      <c r="B31" s="24"/>
      <c r="C31" s="30" t="s">
        <v>31</v>
      </c>
      <c r="D31" s="39" t="str">
        <f>+'Attachment H'!$B$2&amp;", Page 2, Line "&amp;'Attachment H'!A64</f>
        <v>Attachment H, Page 2, Line 2</v>
      </c>
      <c r="E31" s="178">
        <f>+'Attachment H'!D64</f>
        <v>18189760.969999999</v>
      </c>
      <c r="F31" s="28"/>
      <c r="G31" s="28" t="s">
        <v>30</v>
      </c>
      <c r="H31" s="26"/>
      <c r="I31" s="39"/>
      <c r="J31" s="18">
        <f>+H31*E31</f>
        <v>0</v>
      </c>
      <c r="K31" s="28"/>
      <c r="L31" s="28"/>
    </row>
    <row r="32" spans="1:16">
      <c r="A32" s="133">
        <f>+A31+1</f>
        <v>3</v>
      </c>
      <c r="B32" s="24"/>
      <c r="C32" s="30" t="s">
        <v>421</v>
      </c>
      <c r="D32" s="39" t="s">
        <v>978</v>
      </c>
      <c r="E32" s="178">
        <f>D194</f>
        <v>0</v>
      </c>
      <c r="F32" s="28"/>
      <c r="G32" s="28" t="s">
        <v>97</v>
      </c>
      <c r="H32" s="142">
        <v>1</v>
      </c>
      <c r="I32" s="39"/>
      <c r="J32" s="18">
        <f>+E32*H32</f>
        <v>0</v>
      </c>
      <c r="K32" s="28"/>
      <c r="L32" s="28"/>
    </row>
    <row r="33" spans="1:12">
      <c r="A33" s="133">
        <f>+A32+1</f>
        <v>4</v>
      </c>
      <c r="B33" s="24"/>
      <c r="C33" s="30" t="s">
        <v>125</v>
      </c>
      <c r="D33" s="39" t="str">
        <f>+'Attachment H'!$B$2&amp;", Page 2, Line "&amp;'Attachment H'!A66</f>
        <v>Attachment H, Page 2, Line 4</v>
      </c>
      <c r="E33" s="178">
        <f>+'Attachment H'!D66</f>
        <v>3341.7592961457267</v>
      </c>
      <c r="F33" s="28"/>
      <c r="G33" s="28" t="s">
        <v>32</v>
      </c>
      <c r="H33" s="26">
        <f>J150</f>
        <v>0</v>
      </c>
      <c r="I33" s="39"/>
      <c r="J33" s="18">
        <f>+H33*E33</f>
        <v>0</v>
      </c>
      <c r="K33" s="28"/>
      <c r="L33" s="28"/>
    </row>
    <row r="34" spans="1:12" ht="16" thickBot="1">
      <c r="A34" s="133">
        <f>+A33+1</f>
        <v>5</v>
      </c>
      <c r="B34" s="24"/>
      <c r="C34" s="30" t="s">
        <v>422</v>
      </c>
      <c r="D34" s="39" t="str">
        <f>+'Attachment H'!$B$2&amp;", Page 2, Line "&amp;'Attachment H'!A67</f>
        <v>Attachment H, Page 2, Line 5</v>
      </c>
      <c r="E34" s="178">
        <f>+'Attachment H'!D67</f>
        <v>0</v>
      </c>
      <c r="F34" s="28"/>
      <c r="G34" s="28" t="s">
        <v>183</v>
      </c>
      <c r="H34" s="26">
        <f>L154</f>
        <v>0</v>
      </c>
      <c r="I34" s="39"/>
      <c r="J34" s="169">
        <f>+H34*E34</f>
        <v>0</v>
      </c>
      <c r="K34" s="28"/>
      <c r="L34" s="28"/>
    </row>
    <row r="35" spans="1:12">
      <c r="A35" s="133">
        <f>+A34+1</f>
        <v>6</v>
      </c>
      <c r="B35" s="24"/>
      <c r="C35" s="27" t="s">
        <v>330</v>
      </c>
      <c r="D35" s="28" t="s">
        <v>329</v>
      </c>
      <c r="E35" s="178">
        <f>SUM(E30:E34)</f>
        <v>18193102.729296144</v>
      </c>
      <c r="F35" s="28"/>
      <c r="G35" s="28" t="s">
        <v>33</v>
      </c>
      <c r="H35" s="170">
        <f>IF(J35&gt;0,J35/E35,0)</f>
        <v>0</v>
      </c>
      <c r="I35" s="39"/>
      <c r="J35" s="18">
        <f>SUM(J30:J34)</f>
        <v>0</v>
      </c>
      <c r="K35" s="28"/>
      <c r="L35" s="171"/>
    </row>
    <row r="36" spans="1:12">
      <c r="A36" s="133"/>
      <c r="B36" s="24"/>
      <c r="C36" s="30"/>
      <c r="D36" s="28"/>
      <c r="E36" s="178"/>
      <c r="F36" s="28"/>
      <c r="G36" s="28"/>
      <c r="H36" s="171"/>
      <c r="I36" s="28"/>
      <c r="J36" s="18"/>
      <c r="K36" s="28"/>
      <c r="L36" s="171"/>
    </row>
    <row r="37" spans="1:12">
      <c r="A37" s="133">
        <f>+A35+1</f>
        <v>7</v>
      </c>
      <c r="B37" s="24"/>
      <c r="C37" s="30" t="s">
        <v>937</v>
      </c>
      <c r="D37" s="28"/>
      <c r="E37" s="178"/>
      <c r="F37" s="28"/>
      <c r="G37" s="28"/>
      <c r="H37" s="28"/>
      <c r="I37" s="28"/>
      <c r="J37" s="18"/>
      <c r="K37" s="28"/>
      <c r="L37" s="28"/>
    </row>
    <row r="38" spans="1:12">
      <c r="A38" s="133">
        <f t="shared" ref="A38:A43" si="3">+A37+1</f>
        <v>8</v>
      </c>
      <c r="B38" s="24"/>
      <c r="C38" s="30" t="s">
        <v>420</v>
      </c>
      <c r="D38" s="39" t="str">
        <f>+'Attachment H'!$B$2&amp;", Page 2, Line "&amp;'Attachment H'!A71</f>
        <v>Attachment H, Page 2, Line 8</v>
      </c>
      <c r="E38" s="178">
        <f>+'Attachment H'!D71</f>
        <v>0</v>
      </c>
      <c r="F38" s="28"/>
      <c r="G38" s="28" t="s">
        <v>30</v>
      </c>
      <c r="H38" s="18">
        <v>0</v>
      </c>
      <c r="I38" s="28"/>
      <c r="J38" s="18">
        <f>+H38*E38</f>
        <v>0</v>
      </c>
      <c r="K38" s="28"/>
      <c r="L38" s="28"/>
    </row>
    <row r="39" spans="1:12">
      <c r="A39" s="133">
        <f t="shared" si="3"/>
        <v>9</v>
      </c>
      <c r="B39" s="24"/>
      <c r="C39" s="30" t="s">
        <v>31</v>
      </c>
      <c r="D39" s="39" t="str">
        <f>+'Attachment H'!$B$2&amp;", Page 2, Line "&amp;'Attachment H'!A72</f>
        <v>Attachment H, Page 2, Line 9</v>
      </c>
      <c r="E39" s="178">
        <f>+'Attachment H'!D72</f>
        <v>2688909.6484372416</v>
      </c>
      <c r="F39" s="28"/>
      <c r="G39" s="28" t="s">
        <v>30</v>
      </c>
      <c r="H39" s="26"/>
      <c r="I39" s="39"/>
      <c r="J39" s="18">
        <f>+H39*E39</f>
        <v>0</v>
      </c>
      <c r="K39" s="28"/>
      <c r="L39" s="28"/>
    </row>
    <row r="40" spans="1:12">
      <c r="A40" s="133">
        <f t="shared" si="3"/>
        <v>10</v>
      </c>
      <c r="B40" s="24"/>
      <c r="C40" s="30" t="s">
        <v>421</v>
      </c>
      <c r="D40" s="39" t="s">
        <v>939</v>
      </c>
      <c r="E40" s="178">
        <f>E194</f>
        <v>0</v>
      </c>
      <c r="F40" s="28"/>
      <c r="G40" s="28" t="s">
        <v>97</v>
      </c>
      <c r="H40" s="142">
        <v>1</v>
      </c>
      <c r="I40" s="39"/>
      <c r="J40" s="178">
        <f>+H40*E40</f>
        <v>0</v>
      </c>
      <c r="K40" s="28"/>
      <c r="L40" s="28"/>
    </row>
    <row r="41" spans="1:12">
      <c r="A41" s="133">
        <f t="shared" si="3"/>
        <v>11</v>
      </c>
      <c r="B41" s="24"/>
      <c r="C41" s="30" t="s">
        <v>125</v>
      </c>
      <c r="D41" s="39" t="str">
        <f>+'Attachment H'!$B$2&amp;", Page 2, Line "&amp;'Attachment H'!A74</f>
        <v>Attachment H, Page 2, Line 11</v>
      </c>
      <c r="E41" s="178">
        <f>+'Attachment H'!D74</f>
        <v>1533.9307852970669</v>
      </c>
      <c r="F41" s="28"/>
      <c r="G41" s="28" t="s">
        <v>32</v>
      </c>
      <c r="H41" s="26">
        <f>+H33</f>
        <v>0</v>
      </c>
      <c r="I41" s="39"/>
      <c r="J41" s="18">
        <f>+H41*E41</f>
        <v>0</v>
      </c>
      <c r="K41" s="28"/>
      <c r="L41" s="28"/>
    </row>
    <row r="42" spans="1:12" ht="16" thickBot="1">
      <c r="A42" s="133">
        <f t="shared" si="3"/>
        <v>12</v>
      </c>
      <c r="B42" s="24"/>
      <c r="C42" s="30" t="s">
        <v>422</v>
      </c>
      <c r="D42" s="39" t="str">
        <f>+'Attachment H'!$B$2&amp;", Page 2, Line "&amp;'Attachment H'!A75</f>
        <v>Attachment H, Page 2, Line 12</v>
      </c>
      <c r="E42" s="186">
        <f>+'Attachment H'!D75</f>
        <v>0</v>
      </c>
      <c r="F42" s="28"/>
      <c r="G42" s="28" t="s">
        <v>183</v>
      </c>
      <c r="H42" s="26">
        <f>+H34</f>
        <v>0</v>
      </c>
      <c r="I42" s="39"/>
      <c r="J42" s="169">
        <f>+H42*E42</f>
        <v>0</v>
      </c>
      <c r="K42" s="28"/>
      <c r="L42" s="28"/>
    </row>
    <row r="43" spans="1:12">
      <c r="A43" s="133">
        <f t="shared" si="3"/>
        <v>13</v>
      </c>
      <c r="B43" s="24"/>
      <c r="C43" s="30" t="s">
        <v>332</v>
      </c>
      <c r="D43" s="28" t="s">
        <v>331</v>
      </c>
      <c r="E43" s="178">
        <f>SUM(E38:E42)</f>
        <v>2690443.5792225385</v>
      </c>
      <c r="F43" s="28"/>
      <c r="G43" s="28"/>
      <c r="H43" s="26"/>
      <c r="I43" s="39"/>
      <c r="J43" s="18">
        <f>SUM(J38:J42)</f>
        <v>0</v>
      </c>
      <c r="K43" s="28"/>
      <c r="L43" s="28"/>
    </row>
    <row r="44" spans="1:12">
      <c r="A44" s="133"/>
      <c r="B44" s="24"/>
      <c r="C44" s="33"/>
      <c r="D44" s="28" t="s">
        <v>10</v>
      </c>
      <c r="E44" s="178"/>
      <c r="F44" s="28"/>
      <c r="G44" s="28"/>
      <c r="H44" s="170"/>
      <c r="I44" s="28"/>
      <c r="J44" s="18"/>
      <c r="K44" s="28"/>
      <c r="L44" s="171"/>
    </row>
    <row r="45" spans="1:12">
      <c r="A45" s="133">
        <f>+A43+1</f>
        <v>14</v>
      </c>
      <c r="B45" s="24"/>
      <c r="C45" s="30" t="s">
        <v>34</v>
      </c>
      <c r="D45" s="28"/>
      <c r="E45" s="178"/>
      <c r="F45" s="28"/>
      <c r="G45" s="28"/>
      <c r="H45" s="26"/>
      <c r="I45" s="28"/>
      <c r="J45" s="18"/>
      <c r="K45" s="28"/>
      <c r="L45" s="28"/>
    </row>
    <row r="46" spans="1:12">
      <c r="A46" s="133">
        <f t="shared" ref="A46:A51" si="4">+A45+1</f>
        <v>15</v>
      </c>
      <c r="B46" s="24"/>
      <c r="C46" s="30" t="s">
        <v>420</v>
      </c>
      <c r="D46" s="28" t="str">
        <f>"(line "&amp;A30&amp;" - line "&amp;A38&amp;")"</f>
        <v>(line 1 - line 8)</v>
      </c>
      <c r="E46" s="178">
        <f>E30-E38</f>
        <v>0</v>
      </c>
      <c r="F46" s="39"/>
      <c r="G46" s="39"/>
      <c r="H46" s="170"/>
      <c r="I46" s="39"/>
      <c r="J46" s="18">
        <f>J30-J38</f>
        <v>0</v>
      </c>
      <c r="K46" s="28"/>
      <c r="L46" s="171"/>
    </row>
    <row r="47" spans="1:12">
      <c r="A47" s="133">
        <f t="shared" si="4"/>
        <v>16</v>
      </c>
      <c r="B47" s="24"/>
      <c r="C47" s="30" t="s">
        <v>31</v>
      </c>
      <c r="D47" s="28" t="s">
        <v>334</v>
      </c>
      <c r="E47" s="178">
        <f>E31-E39</f>
        <v>15500851.321562758</v>
      </c>
      <c r="F47" s="39"/>
      <c r="G47" s="39"/>
      <c r="H47" s="26"/>
      <c r="I47" s="39"/>
      <c r="J47" s="18">
        <f>J31-J39</f>
        <v>0</v>
      </c>
      <c r="K47" s="28"/>
      <c r="L47" s="171"/>
    </row>
    <row r="48" spans="1:12">
      <c r="A48" s="133">
        <f t="shared" si="4"/>
        <v>17</v>
      </c>
      <c r="B48" s="24"/>
      <c r="C48" s="30" t="s">
        <v>421</v>
      </c>
      <c r="D48" s="28" t="str">
        <f>"(line "&amp;A32&amp;" - line "&amp;A40&amp;")"</f>
        <v>(line 3 - line 10)</v>
      </c>
      <c r="E48" s="178">
        <f>E32-E40</f>
        <v>0</v>
      </c>
      <c r="F48" s="39"/>
      <c r="G48" s="39"/>
      <c r="H48" s="170"/>
      <c r="I48" s="39"/>
      <c r="J48" s="178">
        <f>J32-J40</f>
        <v>0</v>
      </c>
      <c r="K48" s="28"/>
      <c r="L48" s="171"/>
    </row>
    <row r="49" spans="1:12">
      <c r="A49" s="133">
        <f t="shared" si="4"/>
        <v>18</v>
      </c>
      <c r="B49" s="24"/>
      <c r="C49" s="30" t="s">
        <v>125</v>
      </c>
      <c r="D49" s="28" t="s">
        <v>335</v>
      </c>
      <c r="E49" s="178">
        <f>E33-E41</f>
        <v>1807.8285108486598</v>
      </c>
      <c r="F49" s="39"/>
      <c r="G49" s="39"/>
      <c r="H49" s="170"/>
      <c r="I49" s="39"/>
      <c r="J49" s="18">
        <f>J33-J41</f>
        <v>0</v>
      </c>
      <c r="K49" s="28"/>
      <c r="L49" s="171"/>
    </row>
    <row r="50" spans="1:12" ht="16" thickBot="1">
      <c r="A50" s="133">
        <f t="shared" si="4"/>
        <v>19</v>
      </c>
      <c r="B50" s="24"/>
      <c r="C50" s="30" t="s">
        <v>422</v>
      </c>
      <c r="D50" s="28" t="str">
        <f>"(line "&amp;A34&amp;" - line "&amp;A42&amp;")"</f>
        <v>(line 5 - line 12)</v>
      </c>
      <c r="E50" s="186">
        <f>E34-E42</f>
        <v>0</v>
      </c>
      <c r="F50" s="39"/>
      <c r="G50" s="39"/>
      <c r="H50" s="170"/>
      <c r="I50" s="39"/>
      <c r="J50" s="169">
        <f>J34-J42</f>
        <v>0</v>
      </c>
      <c r="K50" s="28"/>
      <c r="L50" s="171"/>
    </row>
    <row r="51" spans="1:12">
      <c r="A51" s="133">
        <f t="shared" si="4"/>
        <v>20</v>
      </c>
      <c r="B51" s="24"/>
      <c r="C51" s="30" t="s">
        <v>338</v>
      </c>
      <c r="D51" s="28" t="s">
        <v>333</v>
      </c>
      <c r="E51" s="178">
        <f>SUM(E46:E50)</f>
        <v>15502659.150073607</v>
      </c>
      <c r="F51" s="39"/>
      <c r="G51" s="39" t="s">
        <v>35</v>
      </c>
      <c r="H51" s="170">
        <f>IF(J51&gt;0,J51/E51,0)</f>
        <v>0</v>
      </c>
      <c r="I51" s="39"/>
      <c r="J51" s="18">
        <f>SUM(J46:J50)</f>
        <v>0</v>
      </c>
      <c r="K51" s="28"/>
      <c r="L51" s="28"/>
    </row>
    <row r="52" spans="1:12">
      <c r="A52" s="133"/>
      <c r="B52" s="24"/>
      <c r="C52" s="33"/>
      <c r="D52" s="28"/>
      <c r="E52" s="178"/>
      <c r="F52" s="28"/>
      <c r="G52" s="33"/>
      <c r="H52" s="33"/>
      <c r="I52" s="28"/>
      <c r="J52" s="18"/>
      <c r="K52" s="28"/>
      <c r="L52" s="171"/>
    </row>
    <row r="53" spans="1:12">
      <c r="A53" s="133">
        <f>+A51+1</f>
        <v>21</v>
      </c>
      <c r="B53" s="24"/>
      <c r="C53" s="27" t="s">
        <v>794</v>
      </c>
      <c r="D53" s="28"/>
      <c r="E53" s="178"/>
      <c r="F53" s="28"/>
      <c r="G53" s="28"/>
      <c r="H53" s="28"/>
      <c r="I53" s="28"/>
      <c r="J53" s="18"/>
      <c r="K53" s="28"/>
      <c r="L53" s="28"/>
    </row>
    <row r="54" spans="1:12">
      <c r="A54" s="133">
        <f>+A53+1</f>
        <v>22</v>
      </c>
      <c r="B54" s="24"/>
      <c r="C54" s="30" t="s">
        <v>126</v>
      </c>
      <c r="D54" s="39" t="str">
        <f>+'Attachment H'!$B$2&amp;", Page 2, Line "&amp;'Attachment H'!A87</f>
        <v>Attachment H, Page 2, Line 22</v>
      </c>
      <c r="E54" s="178">
        <f>+'Attachment H'!D87</f>
        <v>0</v>
      </c>
      <c r="F54" s="28"/>
      <c r="G54" s="28" t="s">
        <v>30</v>
      </c>
      <c r="H54" s="172" t="s">
        <v>184</v>
      </c>
      <c r="I54" s="39"/>
      <c r="J54" s="18">
        <v>0</v>
      </c>
      <c r="K54" s="28"/>
      <c r="L54" s="171"/>
    </row>
    <row r="55" spans="1:12">
      <c r="A55" s="133">
        <f>+A54+1</f>
        <v>23</v>
      </c>
      <c r="B55" s="24"/>
      <c r="C55" s="30" t="s">
        <v>127</v>
      </c>
      <c r="D55" s="39" t="str">
        <f>+'Attachment H'!$B$2&amp;", Page 2, Line "&amp;'Attachment H'!A88</f>
        <v>Attachment H, Page 2, Line 23</v>
      </c>
      <c r="E55" s="178">
        <f>+'Attachment H'!D88</f>
        <v>-1796206.44485827</v>
      </c>
      <c r="F55" s="28"/>
      <c r="G55" s="28" t="s">
        <v>97</v>
      </c>
      <c r="H55" s="451">
        <v>1</v>
      </c>
      <c r="I55" s="39"/>
      <c r="J55" s="18">
        <f>E55*H55</f>
        <v>-1796206.44485827</v>
      </c>
      <c r="K55" s="28"/>
      <c r="L55" s="171"/>
    </row>
    <row r="56" spans="1:12">
      <c r="A56" s="133">
        <f>+A55+1</f>
        <v>24</v>
      </c>
      <c r="B56" s="24"/>
      <c r="C56" s="30" t="s">
        <v>128</v>
      </c>
      <c r="D56" s="39" t="str">
        <f>+'Attachment H'!$B$2&amp;", Page 2, Line "&amp;'Attachment H'!A89</f>
        <v>Attachment H, Page 2, Line 24</v>
      </c>
      <c r="E56" s="178">
        <f>+'Attachment H'!D89</f>
        <v>-159638.84738990734</v>
      </c>
      <c r="F56" s="28"/>
      <c r="G56" s="28" t="s">
        <v>97</v>
      </c>
      <c r="H56" s="451">
        <v>1</v>
      </c>
      <c r="I56" s="39"/>
      <c r="J56" s="18">
        <f>E56*H56</f>
        <v>-159638.84738990734</v>
      </c>
      <c r="K56" s="28"/>
      <c r="L56" s="171"/>
    </row>
    <row r="57" spans="1:12">
      <c r="A57" s="133">
        <f>+A56+1</f>
        <v>25</v>
      </c>
      <c r="B57" s="24"/>
      <c r="C57" s="30" t="s">
        <v>150</v>
      </c>
      <c r="D57" s="39" t="str">
        <f>+'Attachment H'!$B$2&amp;", Page 2, Line "&amp;'Attachment H'!A90</f>
        <v>Attachment H, Page 2, Line 25</v>
      </c>
      <c r="E57" s="178">
        <f>+'Attachment H'!D90</f>
        <v>-12965.209075895764</v>
      </c>
      <c r="F57" s="28"/>
      <c r="G57" s="28" t="s">
        <v>97</v>
      </c>
      <c r="H57" s="451">
        <v>1</v>
      </c>
      <c r="I57" s="39"/>
      <c r="J57" s="18">
        <f>E57*H57</f>
        <v>-12965.209075895764</v>
      </c>
      <c r="K57" s="28"/>
      <c r="L57" s="171"/>
    </row>
    <row r="58" spans="1:12">
      <c r="A58" s="133">
        <f>+A57+1</f>
        <v>26</v>
      </c>
      <c r="B58" s="24"/>
      <c r="C58" s="33" t="s">
        <v>129</v>
      </c>
      <c r="D58" s="39" t="str">
        <f>+'Attachment H'!$B$2&amp;", Page 2, Line "&amp;'Attachment H'!A91</f>
        <v>Attachment H, Page 2, Line 26</v>
      </c>
      <c r="E58" s="178">
        <f>+'Attachment H'!D91</f>
        <v>0</v>
      </c>
      <c r="F58" s="28"/>
      <c r="G58" s="28" t="s">
        <v>36</v>
      </c>
      <c r="H58" s="451">
        <f>H51</f>
        <v>0</v>
      </c>
      <c r="I58" s="39"/>
      <c r="J58" s="37">
        <f>E58*H58</f>
        <v>0</v>
      </c>
      <c r="K58" s="28"/>
      <c r="L58" s="171"/>
    </row>
    <row r="59" spans="1:12">
      <c r="A59" s="133" t="s">
        <v>585</v>
      </c>
      <c r="B59" s="24"/>
      <c r="C59" s="33" t="s">
        <v>688</v>
      </c>
      <c r="D59" s="39" t="s">
        <v>940</v>
      </c>
      <c r="E59" s="178">
        <f>L207</f>
        <v>0</v>
      </c>
      <c r="F59" s="28"/>
      <c r="G59" s="28" t="s">
        <v>97</v>
      </c>
      <c r="H59" s="451">
        <v>1</v>
      </c>
      <c r="I59" s="39"/>
      <c r="J59" s="48">
        <f>+H59*E59</f>
        <v>0</v>
      </c>
      <c r="K59" s="28"/>
      <c r="L59" s="171"/>
    </row>
    <row r="60" spans="1:12">
      <c r="A60" s="133">
        <f>+A58+1</f>
        <v>27</v>
      </c>
      <c r="B60" s="24"/>
      <c r="C60" s="149" t="s">
        <v>107</v>
      </c>
      <c r="D60" s="39" t="str">
        <f>+'Attachment H'!$B$2&amp;", Page 2, Line "&amp;'Attachment H'!A93</f>
        <v>Attachment H, Page 2, Line 27</v>
      </c>
      <c r="E60" s="178">
        <f>+'Attachment H'!D93</f>
        <v>0</v>
      </c>
      <c r="F60" s="151"/>
      <c r="G60" s="151" t="s">
        <v>30</v>
      </c>
      <c r="H60" s="175"/>
      <c r="I60" s="151"/>
      <c r="J60" s="37">
        <f>+H60*E60</f>
        <v>0</v>
      </c>
      <c r="K60" s="15"/>
      <c r="L60" s="171"/>
    </row>
    <row r="61" spans="1:12">
      <c r="A61" s="133">
        <f>+A60+1</f>
        <v>28</v>
      </c>
      <c r="B61" s="24"/>
      <c r="C61" s="149" t="s">
        <v>165</v>
      </c>
      <c r="D61" s="39" t="str">
        <f>+'Attachment H'!$B$2&amp;", Page 2, Line "&amp;'Attachment H'!A94</f>
        <v>Attachment H, Page 2, Line 28</v>
      </c>
      <c r="E61" s="178">
        <f>+'Attachment H'!D94</f>
        <v>0</v>
      </c>
      <c r="F61" s="151"/>
      <c r="G61" s="151" t="str">
        <f>+G62</f>
        <v>DA</v>
      </c>
      <c r="H61" s="451">
        <v>1</v>
      </c>
      <c r="I61" s="151"/>
      <c r="J61" s="37">
        <f>+H61*E61</f>
        <v>0</v>
      </c>
      <c r="K61" s="15"/>
      <c r="L61" s="171"/>
    </row>
    <row r="62" spans="1:12" ht="16" thickBot="1">
      <c r="A62" s="133">
        <f>+A61+1</f>
        <v>29</v>
      </c>
      <c r="B62" s="24"/>
      <c r="C62" s="149" t="s">
        <v>166</v>
      </c>
      <c r="D62" s="39" t="str">
        <f>+'Attachment H'!$B$2&amp;", Page 2, Line "&amp;'Attachment H'!A95</f>
        <v>Attachment H, Page 2, Line 29</v>
      </c>
      <c r="E62" s="186">
        <f>+'Attachment H'!D95</f>
        <v>0</v>
      </c>
      <c r="F62" s="151"/>
      <c r="G62" s="151" t="s">
        <v>97</v>
      </c>
      <c r="H62" s="451">
        <v>1</v>
      </c>
      <c r="I62" s="151"/>
      <c r="J62" s="169">
        <f>+H62*E62</f>
        <v>0</v>
      </c>
      <c r="K62" s="15"/>
      <c r="L62" s="171"/>
    </row>
    <row r="63" spans="1:12">
      <c r="A63" s="133">
        <f>+A62+1</f>
        <v>30</v>
      </c>
      <c r="B63" s="24"/>
      <c r="C63" s="30" t="s">
        <v>337</v>
      </c>
      <c r="D63" s="28" t="s">
        <v>336</v>
      </c>
      <c r="E63" s="18">
        <f>SUM(E54:E62)</f>
        <v>-1968810.5013240732</v>
      </c>
      <c r="F63" s="28"/>
      <c r="G63" s="28"/>
      <c r="H63" s="39"/>
      <c r="I63" s="39"/>
      <c r="J63" s="18">
        <f>SUM(J54:J62)</f>
        <v>-1968810.5013240732</v>
      </c>
      <c r="K63" s="28"/>
      <c r="L63" s="28"/>
    </row>
    <row r="64" spans="1:12">
      <c r="A64" s="133"/>
      <c r="B64" s="24"/>
      <c r="C64" s="33"/>
      <c r="D64" s="28"/>
      <c r="E64" s="18"/>
      <c r="F64" s="28"/>
      <c r="G64" s="28"/>
      <c r="H64" s="171"/>
      <c r="I64" s="28"/>
      <c r="J64" s="18"/>
      <c r="K64" s="28"/>
      <c r="L64" s="171"/>
    </row>
    <row r="65" spans="1:15">
      <c r="A65" s="133">
        <f>+A63+1</f>
        <v>31</v>
      </c>
      <c r="B65" s="24"/>
      <c r="C65" s="27" t="s">
        <v>807</v>
      </c>
      <c r="D65" s="39" t="s">
        <v>941</v>
      </c>
      <c r="E65" s="167">
        <f>G194</f>
        <v>0</v>
      </c>
      <c r="F65" s="28"/>
      <c r="G65" s="28" t="s">
        <v>97</v>
      </c>
      <c r="H65" s="142">
        <v>1</v>
      </c>
      <c r="I65" s="39"/>
      <c r="J65" s="18">
        <f>+H65*E65</f>
        <v>0</v>
      </c>
      <c r="K65" s="28"/>
      <c r="L65" s="28"/>
    </row>
    <row r="66" spans="1:15">
      <c r="A66" s="133"/>
      <c r="B66" s="24"/>
      <c r="C66" s="30"/>
      <c r="D66" s="28"/>
      <c r="E66" s="18"/>
      <c r="F66" s="28"/>
      <c r="G66" s="28"/>
      <c r="H66" s="26"/>
      <c r="I66" s="39"/>
      <c r="J66" s="18"/>
      <c r="K66" s="28"/>
      <c r="L66" s="28"/>
    </row>
    <row r="67" spans="1:15">
      <c r="A67" s="133">
        <f>+A65+1</f>
        <v>32</v>
      </c>
      <c r="B67" s="24"/>
      <c r="C67" s="30" t="s">
        <v>342</v>
      </c>
      <c r="D67" s="28"/>
      <c r="E67" s="18"/>
      <c r="F67" s="28"/>
      <c r="G67" s="28"/>
      <c r="H67" s="26"/>
      <c r="I67" s="39"/>
      <c r="J67" s="18"/>
      <c r="K67" s="28"/>
      <c r="L67" s="28"/>
    </row>
    <row r="68" spans="1:15">
      <c r="A68" s="133">
        <f>+A67+1</f>
        <v>33</v>
      </c>
      <c r="B68" s="24"/>
      <c r="C68" s="30" t="s">
        <v>185</v>
      </c>
      <c r="D68" s="33" t="s">
        <v>979</v>
      </c>
      <c r="E68" s="178">
        <f>(E93)/8</f>
        <v>53593.181846321095</v>
      </c>
      <c r="F68" s="28"/>
      <c r="G68" s="28"/>
      <c r="H68" s="142"/>
      <c r="I68" s="39"/>
      <c r="J68" s="178">
        <f>(J93)/8</f>
        <v>0</v>
      </c>
      <c r="K68" s="30"/>
      <c r="L68" s="171"/>
    </row>
    <row r="69" spans="1:15">
      <c r="A69" s="133">
        <f>+A68+1</f>
        <v>34</v>
      </c>
      <c r="B69" s="24"/>
      <c r="C69" s="30" t="s">
        <v>808</v>
      </c>
      <c r="D69" s="39" t="s">
        <v>942</v>
      </c>
      <c r="E69" s="167">
        <f>H194</f>
        <v>0</v>
      </c>
      <c r="F69" s="28"/>
      <c r="G69" s="28" t="s">
        <v>97</v>
      </c>
      <c r="H69" s="142">
        <v>1</v>
      </c>
      <c r="I69" s="39"/>
      <c r="J69" s="18">
        <f>+H69*E69</f>
        <v>0</v>
      </c>
      <c r="K69" s="28" t="s">
        <v>10</v>
      </c>
      <c r="L69" s="171"/>
    </row>
    <row r="70" spans="1:15" ht="16" thickBot="1">
      <c r="A70" s="133">
        <f>+A69+1</f>
        <v>35</v>
      </c>
      <c r="B70" s="24"/>
      <c r="C70" s="30" t="s">
        <v>130</v>
      </c>
      <c r="D70" s="39" t="str">
        <f>+'Attachment H'!$B$2&amp;", Page 2, Line "&amp;'Attachment H'!A103</f>
        <v>Attachment H, Page 2, Line 35</v>
      </c>
      <c r="E70" s="168">
        <f>+'4- Rate Base'!H24</f>
        <v>24386.238764464295</v>
      </c>
      <c r="F70" s="28"/>
      <c r="G70" s="28" t="s">
        <v>37</v>
      </c>
      <c r="H70" s="26">
        <f>+H35</f>
        <v>0</v>
      </c>
      <c r="I70" s="39"/>
      <c r="J70" s="169">
        <f>+H70*E70</f>
        <v>0</v>
      </c>
      <c r="K70" s="28"/>
      <c r="L70" s="171"/>
    </row>
    <row r="71" spans="1:15">
      <c r="A71" s="133">
        <f>+A70+1</f>
        <v>36</v>
      </c>
      <c r="B71" s="24"/>
      <c r="C71" s="30" t="s">
        <v>341</v>
      </c>
      <c r="D71" s="30" t="s">
        <v>677</v>
      </c>
      <c r="E71" s="18">
        <f>SUM(E68:E70)</f>
        <v>77979.420610785397</v>
      </c>
      <c r="F71" s="30"/>
      <c r="G71" s="30"/>
      <c r="H71" s="41"/>
      <c r="I71" s="41"/>
      <c r="J71" s="18">
        <f>J68+J69+J70</f>
        <v>0</v>
      </c>
      <c r="K71" s="30"/>
      <c r="L71" s="30"/>
    </row>
    <row r="72" spans="1:15" ht="16" thickBot="1">
      <c r="A72" s="133"/>
      <c r="B72" s="24"/>
      <c r="C72" s="33"/>
      <c r="D72" s="28"/>
      <c r="E72" s="169"/>
      <c r="F72" s="28"/>
      <c r="G72" s="28"/>
      <c r="H72" s="28"/>
      <c r="I72" s="28"/>
      <c r="J72" s="169"/>
      <c r="K72" s="28"/>
      <c r="L72" s="28"/>
    </row>
    <row r="73" spans="1:15" ht="16" thickBot="1">
      <c r="A73" s="133">
        <f>+A71+1</f>
        <v>37</v>
      </c>
      <c r="B73" s="24"/>
      <c r="C73" s="30" t="s">
        <v>344</v>
      </c>
      <c r="D73" s="28" t="s">
        <v>343</v>
      </c>
      <c r="E73" s="179">
        <f>+E71+E65+E63+E51</f>
        <v>13611828.06936032</v>
      </c>
      <c r="F73" s="39"/>
      <c r="G73" s="39"/>
      <c r="H73" s="180"/>
      <c r="I73" s="39"/>
      <c r="J73" s="179">
        <f>+J71+J65+J63+J51</f>
        <v>-1968810.5013240732</v>
      </c>
      <c r="K73" s="28"/>
      <c r="L73" s="171"/>
    </row>
    <row r="74" spans="1:15" ht="16" thickTop="1">
      <c r="A74" s="133"/>
      <c r="B74" s="24"/>
      <c r="C74" s="30"/>
      <c r="D74" s="28"/>
      <c r="E74" s="39"/>
      <c r="F74" s="39"/>
      <c r="G74" s="39"/>
      <c r="H74" s="180"/>
      <c r="I74" s="39"/>
      <c r="J74" s="39"/>
      <c r="K74" s="28"/>
      <c r="L74" s="171"/>
    </row>
    <row r="75" spans="1:15">
      <c r="A75" s="133"/>
      <c r="B75" s="24"/>
      <c r="C75" s="30"/>
      <c r="D75" s="28"/>
      <c r="E75" s="39"/>
      <c r="F75" s="39"/>
      <c r="G75" s="39"/>
      <c r="H75" s="180"/>
      <c r="I75" s="39"/>
      <c r="J75" s="39"/>
      <c r="K75" s="28"/>
      <c r="L75" s="171"/>
    </row>
    <row r="76" spans="1:15" ht="24" customHeight="1">
      <c r="A76" s="133"/>
      <c r="B76" s="24"/>
      <c r="C76" s="30"/>
      <c r="D76" s="28"/>
      <c r="E76" s="28"/>
      <c r="F76" s="28"/>
      <c r="G76" s="28"/>
      <c r="H76" s="28"/>
      <c r="I76" s="28"/>
      <c r="J76" s="28"/>
      <c r="K76" s="28"/>
      <c r="O76" s="181" t="s">
        <v>917</v>
      </c>
    </row>
    <row r="77" spans="1:15">
      <c r="A77" s="133"/>
      <c r="B77" s="24"/>
      <c r="C77" s="30"/>
      <c r="D77" s="28"/>
      <c r="E77" s="28"/>
      <c r="F77" s="28"/>
      <c r="G77" s="28"/>
      <c r="H77" s="28"/>
      <c r="I77" s="28"/>
      <c r="J77" s="28"/>
      <c r="K77" s="28"/>
      <c r="L77" s="181"/>
    </row>
    <row r="78" spans="1:15">
      <c r="A78" s="133"/>
      <c r="B78" s="24"/>
      <c r="C78" s="30" t="s">
        <v>9</v>
      </c>
      <c r="D78" s="28"/>
      <c r="E78" s="31"/>
      <c r="F78" s="28"/>
      <c r="G78" s="51" t="s">
        <v>786</v>
      </c>
      <c r="H78" s="28"/>
      <c r="I78" s="28"/>
      <c r="J78" s="41"/>
      <c r="K78" s="28"/>
      <c r="L78" s="181"/>
    </row>
    <row r="79" spans="1:15">
      <c r="A79" s="133"/>
      <c r="B79" s="24"/>
      <c r="C79" s="30"/>
      <c r="D79" s="28"/>
      <c r="E79" s="31"/>
      <c r="F79" s="28"/>
      <c r="G79" s="51" t="s">
        <v>787</v>
      </c>
      <c r="H79" s="28"/>
      <c r="I79" s="28"/>
      <c r="J79" s="28"/>
      <c r="K79" s="28"/>
      <c r="L79" s="28"/>
    </row>
    <row r="80" spans="1:15">
      <c r="A80" s="133"/>
      <c r="B80" s="24"/>
      <c r="C80" s="33"/>
      <c r="D80" s="28"/>
      <c r="E80" s="31"/>
      <c r="F80" s="28"/>
      <c r="G80" s="51" t="s">
        <v>860</v>
      </c>
      <c r="H80" s="28"/>
      <c r="I80" s="28"/>
      <c r="J80" s="28"/>
      <c r="K80" s="28"/>
      <c r="L80" s="28"/>
    </row>
    <row r="81" spans="1:12">
      <c r="A81" s="560"/>
      <c r="B81" s="24"/>
      <c r="C81" s="560"/>
      <c r="D81" s="560"/>
      <c r="E81" s="560"/>
      <c r="F81" s="560"/>
      <c r="G81" s="560"/>
      <c r="H81" s="560"/>
      <c r="I81" s="560"/>
      <c r="J81" s="560"/>
      <c r="K81" s="560"/>
      <c r="L81" s="560"/>
    </row>
    <row r="82" spans="1:12">
      <c r="A82" s="133"/>
      <c r="B82" s="24"/>
      <c r="C82" s="139" t="s">
        <v>11</v>
      </c>
      <c r="D82" s="139" t="s">
        <v>12</v>
      </c>
      <c r="E82" s="139" t="s">
        <v>13</v>
      </c>
      <c r="F82" s="28" t="s">
        <v>10</v>
      </c>
      <c r="G82" s="28"/>
      <c r="H82" s="138" t="s">
        <v>14</v>
      </c>
      <c r="I82" s="28"/>
      <c r="J82" s="138" t="s">
        <v>15</v>
      </c>
      <c r="K82" s="28"/>
      <c r="L82" s="28"/>
    </row>
    <row r="83" spans="1:12">
      <c r="A83" s="133" t="s">
        <v>16</v>
      </c>
      <c r="B83" s="24"/>
      <c r="C83" s="30"/>
      <c r="D83" s="162"/>
      <c r="E83" s="28"/>
      <c r="F83" s="28"/>
      <c r="G83" s="28"/>
      <c r="H83" s="133"/>
      <c r="I83" s="28"/>
      <c r="J83" s="163" t="s">
        <v>822</v>
      </c>
      <c r="K83" s="28"/>
      <c r="L83" s="163"/>
    </row>
    <row r="84" spans="1:12" ht="16" thickBot="1">
      <c r="A84" s="32" t="s">
        <v>18</v>
      </c>
      <c r="B84" s="24"/>
      <c r="C84" s="30"/>
      <c r="D84" s="164" t="s">
        <v>301</v>
      </c>
      <c r="E84" s="163" t="s">
        <v>27</v>
      </c>
      <c r="F84" s="165"/>
      <c r="G84" s="163" t="s">
        <v>28</v>
      </c>
      <c r="H84" s="33"/>
      <c r="I84" s="165"/>
      <c r="J84" s="133" t="s">
        <v>29</v>
      </c>
      <c r="K84" s="28"/>
      <c r="L84" s="163"/>
    </row>
    <row r="85" spans="1:12">
      <c r="A85" s="133"/>
      <c r="B85" s="24"/>
      <c r="C85" s="30" t="s">
        <v>7</v>
      </c>
      <c r="D85" s="28"/>
      <c r="E85" s="28"/>
      <c r="F85" s="28"/>
      <c r="G85" s="28"/>
      <c r="H85" s="28"/>
      <c r="I85" s="28"/>
      <c r="J85" s="28"/>
      <c r="K85" s="28"/>
      <c r="L85" s="28"/>
    </row>
    <row r="86" spans="1:12">
      <c r="A86" s="133">
        <v>1</v>
      </c>
      <c r="B86" s="24"/>
      <c r="C86" s="30" t="s">
        <v>793</v>
      </c>
      <c r="D86" s="402" t="s">
        <v>930</v>
      </c>
      <c r="E86" s="167"/>
      <c r="F86" s="28"/>
      <c r="G86" s="28" t="s">
        <v>97</v>
      </c>
      <c r="H86" s="142">
        <v>1</v>
      </c>
      <c r="I86" s="39"/>
      <c r="J86" s="18">
        <f t="shared" ref="J86:J92" si="5">+H86*E86</f>
        <v>0</v>
      </c>
      <c r="K86" s="30"/>
      <c r="L86" s="28"/>
    </row>
    <row r="87" spans="1:12">
      <c r="A87" s="148">
        <f>+A86+1</f>
        <v>2</v>
      </c>
      <c r="B87" s="24"/>
      <c r="C87" s="30" t="s">
        <v>40</v>
      </c>
      <c r="D87" s="39" t="str">
        <f>+'Attachment H'!$B$2&amp;", Page 3, Line "&amp;'Attachment H'!A122</f>
        <v>Attachment H, Page 3, Line 4</v>
      </c>
      <c r="E87" s="178">
        <f>+'Attachment H'!D122</f>
        <v>428745.45477056876</v>
      </c>
      <c r="F87" s="28"/>
      <c r="G87" s="28" t="s">
        <v>32</v>
      </c>
      <c r="H87" s="26">
        <f>+H41</f>
        <v>0</v>
      </c>
      <c r="I87" s="39"/>
      <c r="J87" s="18">
        <f t="shared" si="5"/>
        <v>0</v>
      </c>
      <c r="K87" s="28"/>
      <c r="L87" s="28" t="s">
        <v>10</v>
      </c>
    </row>
    <row r="88" spans="1:12">
      <c r="A88" s="148">
        <f t="shared" ref="A88:A128" si="6">+A87+1</f>
        <v>3</v>
      </c>
      <c r="B88" s="24"/>
      <c r="C88" s="30" t="s">
        <v>187</v>
      </c>
      <c r="D88" s="39" t="str">
        <f>+'Attachment H'!$B$2&amp;", Page 3, Line "&amp;'Attachment H'!A123</f>
        <v>Attachment H, Page 3, Line 5</v>
      </c>
      <c r="E88" s="178">
        <f>+'Attachment H'!D123</f>
        <v>0</v>
      </c>
      <c r="F88" s="28"/>
      <c r="G88" s="28" t="s">
        <v>32</v>
      </c>
      <c r="H88" s="26">
        <f>+H87</f>
        <v>0</v>
      </c>
      <c r="I88" s="39"/>
      <c r="J88" s="18">
        <f t="shared" si="5"/>
        <v>0</v>
      </c>
      <c r="K88" s="28"/>
      <c r="L88" s="28"/>
    </row>
    <row r="89" spans="1:12">
      <c r="A89" s="148">
        <f t="shared" si="6"/>
        <v>4</v>
      </c>
      <c r="B89" s="24"/>
      <c r="C89" s="30" t="s">
        <v>323</v>
      </c>
      <c r="D89" s="39" t="str">
        <f>+'Attachment H'!$B$2&amp;", Page 3, Line "&amp;'Attachment H'!A124</f>
        <v>Attachment H, Page 3, Line 6</v>
      </c>
      <c r="E89" s="178">
        <f>+'Attachment H'!D124</f>
        <v>0</v>
      </c>
      <c r="F89" s="28"/>
      <c r="G89" s="28" t="s">
        <v>32</v>
      </c>
      <c r="H89" s="26">
        <f>+H88</f>
        <v>0</v>
      </c>
      <c r="I89" s="39"/>
      <c r="J89" s="18">
        <f t="shared" si="5"/>
        <v>0</v>
      </c>
      <c r="K89" s="28"/>
      <c r="L89" s="28"/>
    </row>
    <row r="90" spans="1:12">
      <c r="A90" s="148">
        <f t="shared" si="6"/>
        <v>5</v>
      </c>
      <c r="B90" s="24"/>
      <c r="C90" s="30" t="s">
        <v>310</v>
      </c>
      <c r="D90" s="39" t="str">
        <f>+'Attachment H'!$B$2&amp;", Page 3, Line "&amp;'Attachment H'!A125</f>
        <v>Attachment H, Page 3, Line 6a</v>
      </c>
      <c r="E90" s="178">
        <f>+'Attachment H'!D125</f>
        <v>0</v>
      </c>
      <c r="F90" s="117"/>
      <c r="G90" s="28" t="s">
        <v>32</v>
      </c>
      <c r="H90" s="26">
        <f>+H89</f>
        <v>0</v>
      </c>
      <c r="I90" s="39"/>
      <c r="J90" s="18">
        <f t="shared" si="5"/>
        <v>0</v>
      </c>
      <c r="K90" s="117"/>
      <c r="L90" s="117"/>
    </row>
    <row r="91" spans="1:12">
      <c r="A91" s="148">
        <f>+A90+1</f>
        <v>6</v>
      </c>
      <c r="B91" s="24"/>
      <c r="C91" s="30" t="s">
        <v>312</v>
      </c>
      <c r="D91" s="39" t="str">
        <f>+'Attachment H'!$B$2&amp;", Page 3, Line "&amp;'Attachment H'!A127</f>
        <v>Attachment H, Page 3, Line 7a</v>
      </c>
      <c r="E91" s="178">
        <f>+'Attachment H'!D127</f>
        <v>0</v>
      </c>
      <c r="F91" s="117"/>
      <c r="G91" s="28" t="s">
        <v>32</v>
      </c>
      <c r="H91" s="26">
        <f>+H90</f>
        <v>0</v>
      </c>
      <c r="I91" s="39"/>
      <c r="J91" s="18">
        <f t="shared" si="5"/>
        <v>0</v>
      </c>
      <c r="K91" s="117"/>
      <c r="L91" s="117"/>
    </row>
    <row r="92" spans="1:12">
      <c r="A92" s="148">
        <f t="shared" si="6"/>
        <v>7</v>
      </c>
      <c r="B92" s="24"/>
      <c r="C92" s="30" t="s">
        <v>422</v>
      </c>
      <c r="D92" s="39" t="str">
        <f>+'Attachment H'!$B$2&amp;", Page 3, Line "&amp;'Attachment H'!A128</f>
        <v>Attachment H, Page 3, Line 8</v>
      </c>
      <c r="E92" s="178">
        <f>+'Attachment H'!D128</f>
        <v>0</v>
      </c>
      <c r="F92" s="28"/>
      <c r="G92" s="28" t="s">
        <v>183</v>
      </c>
      <c r="H92" s="26">
        <f>+H42</f>
        <v>0</v>
      </c>
      <c r="I92" s="39"/>
      <c r="J92" s="18">
        <f t="shared" si="5"/>
        <v>0</v>
      </c>
      <c r="K92" s="28"/>
      <c r="L92" s="28"/>
    </row>
    <row r="93" spans="1:12">
      <c r="A93" s="148">
        <f t="shared" si="6"/>
        <v>8</v>
      </c>
      <c r="B93" s="24"/>
      <c r="C93" s="187" t="s">
        <v>345</v>
      </c>
      <c r="D93" s="118" t="s">
        <v>810</v>
      </c>
      <c r="E93" s="18">
        <f>+E86+E87-E88-E89-E90+E91+E92</f>
        <v>428745.45477056876</v>
      </c>
      <c r="F93" s="18"/>
      <c r="G93" s="18"/>
      <c r="H93" s="18"/>
      <c r="I93" s="18"/>
      <c r="J93" s="18">
        <f>+J86+J87-J88-J89-J90+J91+J92</f>
        <v>0</v>
      </c>
      <c r="K93" s="28"/>
      <c r="L93" s="28"/>
    </row>
    <row r="94" spans="1:12">
      <c r="A94" s="148"/>
      <c r="B94" s="24"/>
      <c r="C94" s="33"/>
      <c r="D94" s="28"/>
      <c r="E94" s="18"/>
      <c r="F94" s="18"/>
      <c r="G94" s="18"/>
      <c r="H94" s="18"/>
      <c r="I94" s="18"/>
      <c r="J94" s="18"/>
      <c r="K94" s="28"/>
      <c r="L94" s="28"/>
    </row>
    <row r="95" spans="1:12">
      <c r="A95" s="148">
        <f>+A93+1</f>
        <v>9</v>
      </c>
      <c r="B95" s="24"/>
      <c r="C95" s="30" t="s">
        <v>813</v>
      </c>
      <c r="D95" s="28"/>
      <c r="E95" s="18"/>
      <c r="F95" s="18"/>
      <c r="G95" s="178"/>
      <c r="H95" s="178"/>
      <c r="I95" s="18"/>
      <c r="J95" s="18"/>
      <c r="K95" s="28"/>
      <c r="L95" s="28"/>
    </row>
    <row r="96" spans="1:12">
      <c r="A96" s="148">
        <f t="shared" si="6"/>
        <v>10</v>
      </c>
      <c r="B96" s="24"/>
      <c r="C96" s="30" t="s">
        <v>793</v>
      </c>
      <c r="D96" s="177" t="s">
        <v>812</v>
      </c>
      <c r="E96" s="167"/>
      <c r="F96" s="18"/>
      <c r="G96" s="28" t="s">
        <v>1073</v>
      </c>
      <c r="H96" s="142">
        <f>+H65</f>
        <v>1</v>
      </c>
      <c r="I96" s="18"/>
      <c r="J96" s="18">
        <f>+H96*E96</f>
        <v>0</v>
      </c>
      <c r="K96" s="28"/>
      <c r="L96" s="171"/>
    </row>
    <row r="97" spans="1:12">
      <c r="A97" s="148">
        <f t="shared" si="6"/>
        <v>11</v>
      </c>
      <c r="B97" s="24"/>
      <c r="C97" s="188" t="s">
        <v>125</v>
      </c>
      <c r="D97" s="39" t="str">
        <f>+'Attachment H'!$B$2&amp;", Page 3, Line "&amp;'Attachment H'!A138</f>
        <v>Attachment H, Page 3, Line 17</v>
      </c>
      <c r="E97" s="178">
        <f>+'Attachment H'!D138</f>
        <v>160.60718830781821</v>
      </c>
      <c r="F97" s="18"/>
      <c r="G97" s="178" t="s">
        <v>32</v>
      </c>
      <c r="H97" s="178">
        <f>+H87</f>
        <v>0</v>
      </c>
      <c r="I97" s="18"/>
      <c r="J97" s="18">
        <f>+H97*E97</f>
        <v>0</v>
      </c>
      <c r="K97" s="28"/>
      <c r="L97" s="171"/>
    </row>
    <row r="98" spans="1:12">
      <c r="A98" s="148">
        <f t="shared" si="6"/>
        <v>12</v>
      </c>
      <c r="B98" s="24"/>
      <c r="C98" s="30" t="s">
        <v>422</v>
      </c>
      <c r="D98" s="39" t="str">
        <f>+'Attachment H'!$B$2&amp;", Page 3, Line "&amp;'Attachment H'!A139</f>
        <v>Attachment H, Page 3, Line 18</v>
      </c>
      <c r="E98" s="178">
        <f>+'Attachment H'!D139</f>
        <v>0</v>
      </c>
      <c r="F98" s="37"/>
      <c r="G98" s="48" t="s">
        <v>183</v>
      </c>
      <c r="H98" s="48">
        <f>+H92</f>
        <v>0</v>
      </c>
      <c r="I98" s="37"/>
      <c r="J98" s="37">
        <f>+H98*E98</f>
        <v>0</v>
      </c>
      <c r="K98" s="28"/>
      <c r="L98" s="171"/>
    </row>
    <row r="99" spans="1:12">
      <c r="A99" s="148">
        <f t="shared" si="6"/>
        <v>13</v>
      </c>
      <c r="B99" s="24"/>
      <c r="C99" s="30" t="s">
        <v>325</v>
      </c>
      <c r="D99" s="28" t="s">
        <v>811</v>
      </c>
      <c r="E99" s="18">
        <f>SUM(E96:E98)</f>
        <v>160.60718830781821</v>
      </c>
      <c r="F99" s="18"/>
      <c r="G99" s="178"/>
      <c r="H99" s="178"/>
      <c r="I99" s="18"/>
      <c r="J99" s="18">
        <f>SUM(J96:J98)</f>
        <v>0</v>
      </c>
      <c r="K99" s="28"/>
      <c r="L99" s="28"/>
    </row>
    <row r="100" spans="1:12">
      <c r="A100" s="148"/>
      <c r="B100" s="24"/>
      <c r="C100" s="30"/>
      <c r="D100" s="28"/>
      <c r="E100" s="18"/>
      <c r="F100" s="18"/>
      <c r="G100" s="178"/>
      <c r="H100" s="178"/>
      <c r="I100" s="18"/>
      <c r="J100" s="18"/>
      <c r="K100" s="28"/>
      <c r="L100" s="28"/>
    </row>
    <row r="101" spans="1:12">
      <c r="A101" s="148">
        <f>+A99+1</f>
        <v>14</v>
      </c>
      <c r="B101" s="24"/>
      <c r="C101" s="30" t="s">
        <v>326</v>
      </c>
      <c r="D101" s="33"/>
      <c r="E101" s="18"/>
      <c r="F101" s="18"/>
      <c r="G101" s="178"/>
      <c r="H101" s="178"/>
      <c r="I101" s="18"/>
      <c r="J101" s="18"/>
      <c r="K101" s="28"/>
      <c r="L101" s="28"/>
    </row>
    <row r="102" spans="1:12">
      <c r="A102" s="148">
        <f t="shared" si="6"/>
        <v>15</v>
      </c>
      <c r="B102" s="24"/>
      <c r="C102" s="30" t="s">
        <v>42</v>
      </c>
      <c r="D102" s="33"/>
      <c r="E102" s="18"/>
      <c r="F102" s="18"/>
      <c r="G102" s="178"/>
      <c r="H102" s="178"/>
      <c r="I102" s="18"/>
      <c r="J102" s="18"/>
      <c r="K102" s="28"/>
      <c r="L102" s="171"/>
    </row>
    <row r="103" spans="1:12">
      <c r="A103" s="148">
        <f t="shared" si="6"/>
        <v>16</v>
      </c>
      <c r="B103" s="24"/>
      <c r="C103" s="30" t="s">
        <v>43</v>
      </c>
      <c r="D103" s="39" t="str">
        <f>+'Attachment H'!$B$2&amp;", Page 3, Line "&amp;'Attachment H'!A145</f>
        <v>Attachment H, Page 3, Line 23</v>
      </c>
      <c r="E103" s="178">
        <f>+'Attachment H'!D145</f>
        <v>0</v>
      </c>
      <c r="F103" s="18"/>
      <c r="G103" s="178" t="s">
        <v>32</v>
      </c>
      <c r="H103" s="178">
        <f>+H97</f>
        <v>0</v>
      </c>
      <c r="I103" s="18"/>
      <c r="J103" s="18">
        <f>+H103*E103</f>
        <v>0</v>
      </c>
      <c r="K103" s="28"/>
      <c r="L103" s="171"/>
    </row>
    <row r="104" spans="1:12">
      <c r="A104" s="148">
        <f t="shared" si="6"/>
        <v>17</v>
      </c>
      <c r="B104" s="24"/>
      <c r="C104" s="30" t="s">
        <v>44</v>
      </c>
      <c r="D104" s="39" t="str">
        <f>+'Attachment H'!$B$2&amp;", Page 3, Line "&amp;'Attachment H'!A146</f>
        <v>Attachment H, Page 3, Line 24</v>
      </c>
      <c r="E104" s="178">
        <f>+'Attachment H'!D146</f>
        <v>0</v>
      </c>
      <c r="F104" s="18"/>
      <c r="G104" s="178" t="s">
        <v>32</v>
      </c>
      <c r="H104" s="178">
        <f>+H103</f>
        <v>0</v>
      </c>
      <c r="I104" s="18"/>
      <c r="J104" s="18">
        <f>+H104*E104</f>
        <v>0</v>
      </c>
      <c r="K104" s="28"/>
      <c r="L104" s="171"/>
    </row>
    <row r="105" spans="1:12">
      <c r="A105" s="148">
        <f t="shared" si="6"/>
        <v>18</v>
      </c>
      <c r="B105" s="24"/>
      <c r="C105" s="30" t="s">
        <v>45</v>
      </c>
      <c r="D105" s="28" t="s">
        <v>10</v>
      </c>
      <c r="E105" s="178"/>
      <c r="F105" s="18"/>
      <c r="G105" s="178"/>
      <c r="H105" s="178"/>
      <c r="I105" s="18"/>
      <c r="J105" s="18"/>
      <c r="K105" s="28"/>
      <c r="L105" s="171"/>
    </row>
    <row r="106" spans="1:12">
      <c r="A106" s="148">
        <f t="shared" si="6"/>
        <v>19</v>
      </c>
      <c r="B106" s="24"/>
      <c r="C106" s="30" t="s">
        <v>46</v>
      </c>
      <c r="D106" s="39" t="str">
        <f>+'Attachment H'!$B$2&amp;", Page 3, Line "&amp;'Attachment H'!A148</f>
        <v>Attachment H, Page 3, Line 26</v>
      </c>
      <c r="E106" s="178">
        <f>+'Attachment H'!D148</f>
        <v>274801.85203399457</v>
      </c>
      <c r="F106" s="18"/>
      <c r="G106" s="178" t="s">
        <v>37</v>
      </c>
      <c r="H106" s="178">
        <f>+H35</f>
        <v>0</v>
      </c>
      <c r="I106" s="18"/>
      <c r="J106" s="18">
        <f>+H106*E106</f>
        <v>0</v>
      </c>
      <c r="K106" s="28"/>
      <c r="L106" s="171"/>
    </row>
    <row r="107" spans="1:12">
      <c r="A107" s="148">
        <f t="shared" si="6"/>
        <v>20</v>
      </c>
      <c r="B107" s="24"/>
      <c r="C107" s="30" t="s">
        <v>47</v>
      </c>
      <c r="D107" s="39" t="str">
        <f>+'Attachment H'!$B$2&amp;", Page 3, Line "&amp;'Attachment H'!A149</f>
        <v>Attachment H, Page 3, Line 27</v>
      </c>
      <c r="E107" s="178">
        <f>+'Attachment H'!D149</f>
        <v>0</v>
      </c>
      <c r="F107" s="18"/>
      <c r="G107" s="178" t="s">
        <v>30</v>
      </c>
      <c r="H107" s="189">
        <v>0</v>
      </c>
      <c r="I107" s="18"/>
      <c r="J107" s="18">
        <f>+H107*E107</f>
        <v>0</v>
      </c>
      <c r="K107" s="28"/>
      <c r="L107" s="171"/>
    </row>
    <row r="108" spans="1:12">
      <c r="A108" s="148">
        <f t="shared" si="6"/>
        <v>21</v>
      </c>
      <c r="B108" s="24"/>
      <c r="C108" s="30" t="s">
        <v>48</v>
      </c>
      <c r="D108" s="39" t="str">
        <f>+'Attachment H'!$B$2&amp;", Page 3, Line "&amp;'Attachment H'!A150</f>
        <v>Attachment H, Page 3, Line 28</v>
      </c>
      <c r="E108" s="178">
        <f>+'Attachment H'!D150</f>
        <v>0</v>
      </c>
      <c r="F108" s="18"/>
      <c r="G108" s="18" t="s">
        <v>37</v>
      </c>
      <c r="H108" s="18">
        <f>+H106</f>
        <v>0</v>
      </c>
      <c r="I108" s="18"/>
      <c r="J108" s="18">
        <f>+H108*E108</f>
        <v>0</v>
      </c>
      <c r="K108" s="28"/>
      <c r="L108" s="171"/>
    </row>
    <row r="109" spans="1:12" ht="16" thickBot="1">
      <c r="A109" s="148">
        <f t="shared" si="6"/>
        <v>22</v>
      </c>
      <c r="B109" s="24"/>
      <c r="C109" s="30" t="s">
        <v>49</v>
      </c>
      <c r="D109" s="39" t="str">
        <f>+'Attachment H'!$B$2&amp;", Page 3, Line "&amp;'Attachment H'!A151</f>
        <v>Attachment H, Page 3, Line 29</v>
      </c>
      <c r="E109" s="178">
        <f>+'Attachment H'!D151</f>
        <v>0</v>
      </c>
      <c r="F109" s="18"/>
      <c r="G109" s="18" t="s">
        <v>37</v>
      </c>
      <c r="H109" s="18">
        <f>+H106</f>
        <v>0</v>
      </c>
      <c r="I109" s="18"/>
      <c r="J109" s="169">
        <f>+H109*E109</f>
        <v>0</v>
      </c>
      <c r="K109" s="28"/>
      <c r="L109" s="171"/>
    </row>
    <row r="110" spans="1:12">
      <c r="A110" s="148">
        <f t="shared" si="6"/>
        <v>23</v>
      </c>
      <c r="B110" s="24"/>
      <c r="C110" s="30" t="s">
        <v>328</v>
      </c>
      <c r="D110" s="28" t="s">
        <v>814</v>
      </c>
      <c r="E110" s="18">
        <f>SUM(E103:E109)</f>
        <v>274801.85203399457</v>
      </c>
      <c r="F110" s="18"/>
      <c r="G110" s="18"/>
      <c r="H110" s="18"/>
      <c r="I110" s="18"/>
      <c r="J110" s="18">
        <f>SUM(J103:J109)</f>
        <v>0</v>
      </c>
      <c r="K110" s="28"/>
      <c r="L110" s="28"/>
    </row>
    <row r="111" spans="1:12">
      <c r="A111" s="148"/>
      <c r="B111" s="24"/>
      <c r="C111" s="30"/>
      <c r="D111" s="28"/>
      <c r="E111" s="28"/>
      <c r="F111" s="28"/>
      <c r="G111" s="28"/>
      <c r="H111" s="144"/>
      <c r="I111" s="28"/>
      <c r="J111" s="28"/>
      <c r="K111" s="28"/>
      <c r="L111" s="28"/>
    </row>
    <row r="112" spans="1:12">
      <c r="A112" s="148">
        <f>+A110+1</f>
        <v>24</v>
      </c>
      <c r="B112" s="24"/>
      <c r="C112" s="30" t="s">
        <v>50</v>
      </c>
      <c r="D112" s="39"/>
      <c r="E112" s="28"/>
      <c r="F112" s="28"/>
      <c r="G112" s="33"/>
      <c r="H112" s="35"/>
      <c r="I112" s="28"/>
      <c r="J112" s="33"/>
      <c r="K112" s="28"/>
      <c r="L112" s="33"/>
    </row>
    <row r="113" spans="1:12">
      <c r="A113" s="148">
        <f t="shared" si="6"/>
        <v>25</v>
      </c>
      <c r="B113" s="24"/>
      <c r="C113" s="36" t="s">
        <v>934</v>
      </c>
      <c r="D113" s="39" t="str">
        <f>+'Attachment H'!$B$2&amp;", Page 3, Line "&amp;'Attachment H'!A155</f>
        <v>Attachment H, Page 3, Line 32</v>
      </c>
      <c r="E113" s="184">
        <f>+'Attachment H'!D155</f>
        <v>0.24160000000000004</v>
      </c>
      <c r="F113" s="28"/>
      <c r="G113" s="33"/>
      <c r="H113" s="35"/>
      <c r="I113" s="28"/>
      <c r="J113" s="33"/>
      <c r="K113" s="28"/>
      <c r="L113" s="33"/>
    </row>
    <row r="114" spans="1:12">
      <c r="A114" s="148">
        <f t="shared" si="6"/>
        <v>26</v>
      </c>
      <c r="B114" s="24"/>
      <c r="C114" s="33" t="s">
        <v>51</v>
      </c>
      <c r="D114" s="39" t="str">
        <f>+'Attachment H'!$B$2&amp;", Page 3, Line "&amp;'Attachment H'!A156</f>
        <v>Attachment H, Page 3, Line 33</v>
      </c>
      <c r="E114" s="184">
        <f>+'Attachment H'!D156</f>
        <v>0.2294561978106282</v>
      </c>
      <c r="F114" s="28"/>
      <c r="G114" s="33"/>
      <c r="H114" s="35"/>
      <c r="I114" s="28"/>
      <c r="J114" s="33"/>
      <c r="K114" s="28"/>
      <c r="L114" s="33"/>
    </row>
    <row r="115" spans="1:12">
      <c r="A115" s="148">
        <f t="shared" si="6"/>
        <v>27</v>
      </c>
      <c r="B115" s="24"/>
      <c r="C115" s="30" t="s">
        <v>368</v>
      </c>
      <c r="D115" s="39" t="str">
        <f>+'Attachment H'!$B$2&amp;", Page 3, Line "&amp;'Attachment H'!A157</f>
        <v>Attachment H, Page 3, Line 34</v>
      </c>
      <c r="E115" s="28"/>
      <c r="F115" s="28"/>
      <c r="G115" s="33"/>
      <c r="H115" s="35"/>
      <c r="I115" s="28"/>
      <c r="J115" s="33"/>
      <c r="K115" s="28"/>
      <c r="L115" s="33"/>
    </row>
    <row r="116" spans="1:12">
      <c r="A116" s="148">
        <f t="shared" si="6"/>
        <v>28</v>
      </c>
      <c r="B116" s="24"/>
      <c r="C116" s="30"/>
      <c r="D116" s="15"/>
      <c r="E116" s="184"/>
      <c r="F116" s="28"/>
      <c r="G116" s="33"/>
      <c r="H116" s="35"/>
      <c r="I116" s="28"/>
      <c r="J116" s="33"/>
      <c r="K116" s="28"/>
      <c r="L116" s="33"/>
    </row>
    <row r="117" spans="1:12">
      <c r="A117" s="148">
        <f t="shared" si="6"/>
        <v>29</v>
      </c>
      <c r="B117" s="24"/>
      <c r="C117" s="36" t="str">
        <f>"      1 / (1 - T) =      (T from line "&amp;A113&amp;")"</f>
        <v xml:space="preserve">      1 / (1 - T) =      (T from line 25)</v>
      </c>
      <c r="D117" s="28"/>
      <c r="E117" s="184">
        <f>+'Attachment H'!D159</f>
        <v>1.3185654008438819</v>
      </c>
      <c r="F117" s="28"/>
      <c r="G117" s="33"/>
      <c r="H117" s="35"/>
      <c r="I117" s="28"/>
      <c r="J117" s="18"/>
      <c r="K117" s="28"/>
      <c r="L117" s="33"/>
    </row>
    <row r="118" spans="1:12">
      <c r="A118" s="148">
        <f t="shared" si="6"/>
        <v>30</v>
      </c>
      <c r="B118" s="24"/>
      <c r="C118" s="30" t="s">
        <v>363</v>
      </c>
      <c r="D118" s="39" t="str">
        <f>+'Attachment H'!$B$2&amp;", Page 3, Line "&amp;'Attachment H'!A160</f>
        <v>Attachment H, Page 3, Line 37</v>
      </c>
      <c r="E118" s="373">
        <f>+'Attachment H'!D160</f>
        <v>0</v>
      </c>
      <c r="F118" s="28"/>
      <c r="G118" s="33"/>
      <c r="H118" s="35"/>
      <c r="I118" s="28"/>
      <c r="J118" s="18"/>
      <c r="K118" s="28"/>
      <c r="L118" s="33"/>
    </row>
    <row r="119" spans="1:12">
      <c r="A119" s="148">
        <f t="shared" si="6"/>
        <v>31</v>
      </c>
      <c r="B119" s="24"/>
      <c r="C119" s="30" t="s">
        <v>982</v>
      </c>
      <c r="D119" s="39" t="str">
        <f>+'Attachment H'!$B$2&amp;", Page 3, Line "&amp;'Attachment H'!A161</f>
        <v>Attachment H, Page 3, Line 38</v>
      </c>
      <c r="E119" s="364">
        <f>+'Attachment H'!D161</f>
        <v>-406.68736057855239</v>
      </c>
      <c r="F119" s="28"/>
      <c r="G119" s="33"/>
      <c r="H119" s="37"/>
      <c r="I119" s="28"/>
      <c r="J119" s="18"/>
      <c r="K119" s="28"/>
      <c r="L119" s="33"/>
    </row>
    <row r="120" spans="1:12">
      <c r="A120" s="148">
        <f t="shared" si="6"/>
        <v>32</v>
      </c>
      <c r="B120" s="24"/>
      <c r="C120" s="30" t="s">
        <v>469</v>
      </c>
      <c r="D120" s="39" t="str">
        <f>+'Attachment H'!$B$2&amp;", Page 3, Line "&amp;'Attachment H'!A162</f>
        <v>Attachment H, Page 3, Line 39</v>
      </c>
      <c r="E120" s="364">
        <f>+'Attachment H'!D162</f>
        <v>1375.8344856217429</v>
      </c>
      <c r="F120" s="28"/>
      <c r="G120" s="33"/>
      <c r="H120" s="35"/>
      <c r="I120" s="28"/>
      <c r="J120" s="18"/>
      <c r="K120" s="28"/>
      <c r="L120" s="33"/>
    </row>
    <row r="121" spans="1:12">
      <c r="A121" s="148">
        <f t="shared" si="6"/>
        <v>33</v>
      </c>
      <c r="B121" s="24"/>
      <c r="C121" s="36" t="s">
        <v>364</v>
      </c>
      <c r="D121" s="38" t="s">
        <v>1124</v>
      </c>
      <c r="E121" s="364">
        <f>+E114*E128</f>
        <v>267980.71134526707</v>
      </c>
      <c r="F121" s="39"/>
      <c r="G121" s="39" t="s">
        <v>30</v>
      </c>
      <c r="H121" s="40"/>
      <c r="I121" s="39"/>
      <c r="J121" s="364">
        <f>+E114*E116*J128</f>
        <v>0</v>
      </c>
      <c r="K121" s="28"/>
      <c r="L121" s="143" t="s">
        <v>10</v>
      </c>
    </row>
    <row r="122" spans="1:12">
      <c r="A122" s="148">
        <f t="shared" si="6"/>
        <v>34</v>
      </c>
      <c r="B122" s="24"/>
      <c r="C122" s="33" t="s">
        <v>365</v>
      </c>
      <c r="D122" s="38" t="s">
        <v>815</v>
      </c>
      <c r="E122" s="364">
        <f>+E$117*E118</f>
        <v>0</v>
      </c>
      <c r="F122" s="39"/>
      <c r="G122" s="41" t="s">
        <v>36</v>
      </c>
      <c r="H122" s="26">
        <f>H51</f>
        <v>0</v>
      </c>
      <c r="I122" s="39"/>
      <c r="J122" s="364">
        <f>+H122*E122</f>
        <v>0</v>
      </c>
      <c r="K122" s="28"/>
      <c r="L122" s="143"/>
    </row>
    <row r="123" spans="1:12">
      <c r="A123" s="148">
        <f t="shared" si="6"/>
        <v>35</v>
      </c>
      <c r="B123" s="24"/>
      <c r="C123" s="33" t="s">
        <v>984</v>
      </c>
      <c r="D123" s="38" t="s">
        <v>816</v>
      </c>
      <c r="E123" s="364">
        <f>+E$117*E119</f>
        <v>-536.24388261939919</v>
      </c>
      <c r="F123" s="39"/>
      <c r="G123" s="41" t="s">
        <v>36</v>
      </c>
      <c r="H123" s="26">
        <f>H122</f>
        <v>0</v>
      </c>
      <c r="I123" s="39"/>
      <c r="J123" s="364">
        <f>+H123*E123</f>
        <v>0</v>
      </c>
      <c r="K123" s="28"/>
      <c r="L123" s="143"/>
    </row>
    <row r="124" spans="1:12" ht="16" thickBot="1">
      <c r="A124" s="148">
        <f t="shared" si="6"/>
        <v>36</v>
      </c>
      <c r="B124" s="24"/>
      <c r="C124" s="33" t="s">
        <v>188</v>
      </c>
      <c r="D124" s="38" t="s">
        <v>817</v>
      </c>
      <c r="E124" s="364">
        <f>E120*E117</f>
        <v>1814.1277500286694</v>
      </c>
      <c r="F124" s="39"/>
      <c r="G124" s="41" t="s">
        <v>36</v>
      </c>
      <c r="H124" s="26">
        <f>H123</f>
        <v>0</v>
      </c>
      <c r="I124" s="39"/>
      <c r="J124" s="365">
        <f>+H124*E124</f>
        <v>0</v>
      </c>
      <c r="K124" s="28"/>
      <c r="L124" s="143"/>
    </row>
    <row r="125" spans="1:12">
      <c r="A125" s="148">
        <f t="shared" si="6"/>
        <v>37</v>
      </c>
      <c r="B125" s="24"/>
      <c r="C125" s="43" t="s">
        <v>366</v>
      </c>
      <c r="D125" s="33" t="s">
        <v>818</v>
      </c>
      <c r="E125" s="364">
        <f>SUM(E121:E124)</f>
        <v>269258.59521267633</v>
      </c>
      <c r="F125" s="39"/>
      <c r="G125" s="39" t="s">
        <v>10</v>
      </c>
      <c r="H125" s="40" t="s">
        <v>10</v>
      </c>
      <c r="I125" s="39"/>
      <c r="J125" s="189">
        <f>SUM(J121:J124)</f>
        <v>0</v>
      </c>
      <c r="K125" s="28"/>
      <c r="L125" s="28"/>
    </row>
    <row r="126" spans="1:12">
      <c r="A126" s="148"/>
      <c r="B126" s="24"/>
      <c r="C126" s="33"/>
      <c r="D126" s="190"/>
      <c r="E126" s="18"/>
      <c r="F126" s="28"/>
      <c r="G126" s="28"/>
      <c r="H126" s="144"/>
      <c r="I126" s="28"/>
      <c r="J126" s="18"/>
      <c r="K126" s="28"/>
      <c r="L126" s="28"/>
    </row>
    <row r="127" spans="1:12">
      <c r="A127" s="148">
        <f>+A125+1</f>
        <v>38</v>
      </c>
      <c r="B127" s="24"/>
      <c r="C127" s="30" t="s">
        <v>53</v>
      </c>
      <c r="D127" s="15"/>
      <c r="E127" s="15"/>
      <c r="F127" s="15"/>
      <c r="G127" s="15"/>
      <c r="H127" s="15"/>
      <c r="I127" s="15"/>
      <c r="J127" s="15"/>
      <c r="K127" s="28"/>
      <c r="L127" s="33"/>
    </row>
    <row r="128" spans="1:12">
      <c r="A128" s="148">
        <f t="shared" si="6"/>
        <v>39</v>
      </c>
      <c r="B128" s="24"/>
      <c r="C128" s="43" t="s">
        <v>487</v>
      </c>
      <c r="D128" s="36" t="s">
        <v>980</v>
      </c>
      <c r="E128" s="18">
        <f>+$J164*E73</f>
        <v>1167894.8483511151</v>
      </c>
      <c r="F128" s="39"/>
      <c r="G128" s="39" t="s">
        <v>30</v>
      </c>
      <c r="H128" s="191"/>
      <c r="I128" s="39"/>
      <c r="J128" s="18">
        <f>+$J164*J73</f>
        <v>-168923.94101360545</v>
      </c>
      <c r="K128" s="15"/>
      <c r="L128" s="171"/>
    </row>
    <row r="129" spans="1:15">
      <c r="A129" s="148"/>
      <c r="B129" s="24"/>
      <c r="C129" s="30"/>
      <c r="D129" s="33"/>
      <c r="E129" s="37"/>
      <c r="F129" s="39"/>
      <c r="G129" s="39"/>
      <c r="H129" s="191"/>
      <c r="I129" s="39"/>
      <c r="J129" s="37"/>
      <c r="K129" s="28"/>
      <c r="L129" s="171"/>
    </row>
    <row r="130" spans="1:15" ht="16" thickBot="1">
      <c r="A130" s="148">
        <f>+A128+1</f>
        <v>40</v>
      </c>
      <c r="B130" s="24"/>
      <c r="C130" s="30" t="s">
        <v>371</v>
      </c>
      <c r="D130" s="28" t="s">
        <v>981</v>
      </c>
      <c r="E130" s="192">
        <f>+E128+E125+E110+E99+E93</f>
        <v>2140861.3575566625</v>
      </c>
      <c r="F130" s="39"/>
      <c r="G130" s="39"/>
      <c r="H130" s="39"/>
      <c r="I130" s="39"/>
      <c r="J130" s="192">
        <f>+J128+J125+J110+J99+J93</f>
        <v>-168923.94101360545</v>
      </c>
      <c r="K130" s="30"/>
      <c r="L130" s="30"/>
    </row>
    <row r="131" spans="1:15" ht="16" thickTop="1">
      <c r="A131" s="148"/>
      <c r="B131" s="24"/>
      <c r="C131" s="30"/>
      <c r="D131" s="28"/>
      <c r="E131" s="39"/>
      <c r="F131" s="39"/>
      <c r="G131" s="39"/>
      <c r="H131" s="39"/>
      <c r="I131" s="39"/>
      <c r="J131" s="37"/>
      <c r="K131" s="30"/>
      <c r="L131" s="30"/>
    </row>
    <row r="132" spans="1:15">
      <c r="A132" s="148"/>
      <c r="B132" s="24"/>
      <c r="C132" s="41"/>
      <c r="D132" s="39"/>
      <c r="E132" s="39"/>
      <c r="F132" s="39"/>
      <c r="G132" s="39"/>
      <c r="H132" s="39"/>
      <c r="I132" s="39"/>
      <c r="J132" s="39"/>
      <c r="K132" s="30"/>
      <c r="L132" s="30"/>
    </row>
    <row r="133" spans="1:15">
      <c r="A133" s="133"/>
      <c r="B133" s="24"/>
      <c r="C133" s="33"/>
      <c r="D133" s="33"/>
      <c r="E133" s="33"/>
      <c r="F133" s="33"/>
      <c r="G133" s="33"/>
      <c r="H133" s="33"/>
      <c r="I133" s="33"/>
      <c r="J133" s="33"/>
      <c r="K133" s="28"/>
      <c r="O133" s="181" t="s">
        <v>918</v>
      </c>
    </row>
    <row r="134" spans="1:15">
      <c r="A134" s="133"/>
      <c r="B134" s="24"/>
      <c r="C134" s="33"/>
      <c r="D134" s="33"/>
      <c r="E134" s="33"/>
      <c r="F134" s="33"/>
      <c r="G134" s="33"/>
      <c r="H134" s="33"/>
      <c r="I134" s="33"/>
      <c r="J134" s="33"/>
      <c r="K134" s="28"/>
      <c r="L134" s="28"/>
    </row>
    <row r="135" spans="1:15">
      <c r="A135" s="133"/>
      <c r="B135" s="24"/>
      <c r="C135" s="30" t="s">
        <v>9</v>
      </c>
      <c r="D135" s="33"/>
      <c r="E135" s="156"/>
      <c r="F135" s="33"/>
      <c r="G135" s="51" t="s">
        <v>786</v>
      </c>
      <c r="H135" s="33"/>
      <c r="I135" s="33"/>
      <c r="J135" s="41"/>
      <c r="K135" s="28"/>
      <c r="L135" s="193"/>
    </row>
    <row r="136" spans="1:15">
      <c r="A136" s="133"/>
      <c r="B136" s="24"/>
      <c r="C136" s="30"/>
      <c r="D136" s="33"/>
      <c r="E136" s="156"/>
      <c r="F136" s="33"/>
      <c r="G136" s="51" t="s">
        <v>787</v>
      </c>
      <c r="H136" s="33"/>
      <c r="I136" s="33"/>
      <c r="J136" s="33"/>
      <c r="K136" s="28"/>
      <c r="L136" s="28"/>
    </row>
    <row r="137" spans="1:15">
      <c r="A137" s="133"/>
      <c r="B137" s="24"/>
      <c r="C137" s="33"/>
      <c r="D137" s="33"/>
      <c r="E137" s="156"/>
      <c r="F137" s="33"/>
      <c r="G137" s="51" t="s">
        <v>860</v>
      </c>
      <c r="H137" s="33"/>
      <c r="I137" s="33"/>
      <c r="J137" s="33"/>
      <c r="K137" s="28"/>
      <c r="L137" s="28"/>
    </row>
    <row r="138" spans="1:15">
      <c r="A138" s="560"/>
      <c r="B138" s="24"/>
      <c r="C138" s="560"/>
      <c r="D138" s="560"/>
      <c r="E138" s="560"/>
      <c r="F138" s="560"/>
      <c r="G138" s="560"/>
      <c r="H138" s="560"/>
      <c r="I138" s="560"/>
      <c r="J138" s="560"/>
      <c r="K138" s="560"/>
      <c r="L138" s="560"/>
    </row>
    <row r="139" spans="1:15">
      <c r="A139" s="194"/>
      <c r="B139" s="24"/>
      <c r="C139" s="139" t="s">
        <v>11</v>
      </c>
      <c r="D139" s="139" t="s">
        <v>12</v>
      </c>
      <c r="E139" s="139" t="s">
        <v>13</v>
      </c>
      <c r="F139" s="28" t="s">
        <v>10</v>
      </c>
      <c r="G139" s="28"/>
      <c r="H139" s="138" t="s">
        <v>14</v>
      </c>
      <c r="I139" s="28"/>
      <c r="J139" s="138" t="s">
        <v>15</v>
      </c>
      <c r="K139" s="117"/>
      <c r="L139" s="117"/>
    </row>
    <row r="140" spans="1:15">
      <c r="A140" s="133"/>
      <c r="B140" s="24"/>
      <c r="C140" s="33"/>
      <c r="D140" s="30"/>
      <c r="E140" s="30"/>
      <c r="F140" s="30"/>
      <c r="G140" s="30"/>
      <c r="H140" s="30"/>
      <c r="I140" s="30"/>
      <c r="J140" s="30"/>
      <c r="K140" s="30"/>
      <c r="L140" s="30"/>
    </row>
    <row r="141" spans="1:15">
      <c r="A141" s="133"/>
      <c r="B141" s="24"/>
      <c r="C141" s="33"/>
      <c r="D141" s="166" t="s">
        <v>54</v>
      </c>
      <c r="E141" s="33"/>
      <c r="F141" s="30"/>
      <c r="G141" s="30"/>
      <c r="H141" s="30"/>
      <c r="I141" s="30"/>
      <c r="J141" s="30"/>
      <c r="K141" s="28"/>
      <c r="L141" s="28"/>
    </row>
    <row r="142" spans="1:15">
      <c r="A142" s="133" t="s">
        <v>16</v>
      </c>
      <c r="B142" s="24"/>
      <c r="C142" s="166"/>
      <c r="D142" s="30"/>
      <c r="E142" s="30"/>
      <c r="F142" s="30"/>
      <c r="G142" s="30"/>
      <c r="H142" s="30"/>
      <c r="I142" s="30"/>
      <c r="J142" s="30"/>
      <c r="K142" s="28"/>
      <c r="L142" s="28"/>
    </row>
    <row r="143" spans="1:15" ht="16" thickBot="1">
      <c r="A143" s="32" t="s">
        <v>18</v>
      </c>
      <c r="B143" s="24"/>
      <c r="C143" s="27"/>
      <c r="D143" s="30"/>
      <c r="E143" s="30"/>
      <c r="F143" s="30"/>
      <c r="G143" s="30"/>
      <c r="H143" s="30"/>
      <c r="I143" s="33"/>
      <c r="J143" s="33"/>
      <c r="K143" s="28"/>
      <c r="L143" s="28"/>
    </row>
    <row r="144" spans="1:15">
      <c r="A144" s="133">
        <v>1</v>
      </c>
      <c r="B144" s="24"/>
      <c r="C144" s="30" t="s">
        <v>190</v>
      </c>
      <c r="D144" s="28"/>
      <c r="E144" s="28"/>
      <c r="F144" s="28"/>
      <c r="G144" s="28"/>
      <c r="H144" s="28"/>
      <c r="I144" s="28"/>
      <c r="J144" s="28"/>
      <c r="K144" s="28"/>
      <c r="L144" s="28"/>
    </row>
    <row r="145" spans="1:12" ht="16" thickBot="1">
      <c r="A145" s="133"/>
      <c r="B145" s="24"/>
      <c r="C145" s="30"/>
      <c r="D145" s="198" t="s">
        <v>57</v>
      </c>
      <c r="E145" s="29" t="s">
        <v>58</v>
      </c>
      <c r="F145" s="29" t="s">
        <v>799</v>
      </c>
      <c r="G145" s="28"/>
      <c r="H145" s="29" t="s">
        <v>59</v>
      </c>
      <c r="I145" s="28"/>
      <c r="J145" s="28"/>
      <c r="K145" s="28"/>
      <c r="L145" s="28"/>
    </row>
    <row r="146" spans="1:12">
      <c r="A146" s="133">
        <f>+A144+1</f>
        <v>2</v>
      </c>
      <c r="B146" s="24"/>
      <c r="C146" s="30" t="s">
        <v>420</v>
      </c>
      <c r="D146" s="39" t="str">
        <f>+'Attachment H'!$B$2&amp;", Page 4, Line "&amp;'Attachment H'!A195</f>
        <v>Attachment H, Page 4, Line 7</v>
      </c>
      <c r="E146" s="178">
        <f>+'Attachment H'!D195</f>
        <v>0</v>
      </c>
      <c r="F146" s="26">
        <v>0</v>
      </c>
      <c r="G146" s="199"/>
      <c r="H146" s="18">
        <f>E146*F146</f>
        <v>0</v>
      </c>
      <c r="I146" s="39"/>
      <c r="J146" s="39"/>
      <c r="K146" s="28"/>
      <c r="L146" s="28"/>
    </row>
    <row r="147" spans="1:12">
      <c r="A147" s="133">
        <f>+A146+1</f>
        <v>3</v>
      </c>
      <c r="B147" s="24"/>
      <c r="C147" s="30" t="s">
        <v>31</v>
      </c>
      <c r="D147" s="39" t="str">
        <f>+'Attachment H'!$B$2&amp;", Page 4, Line "&amp;'Attachment H'!A196</f>
        <v>Attachment H, Page 4, Line 8</v>
      </c>
      <c r="E147" s="178">
        <f>+'Attachment H'!D196</f>
        <v>1</v>
      </c>
      <c r="F147" s="26">
        <v>0</v>
      </c>
      <c r="G147" s="199"/>
      <c r="H147" s="18">
        <f>E147*F147</f>
        <v>0</v>
      </c>
      <c r="I147" s="39"/>
      <c r="J147" s="39"/>
      <c r="K147" s="28"/>
      <c r="L147" s="28"/>
    </row>
    <row r="148" spans="1:12">
      <c r="A148" s="133">
        <f>+A147+1</f>
        <v>4</v>
      </c>
      <c r="B148" s="24"/>
      <c r="C148" s="30" t="s">
        <v>421</v>
      </c>
      <c r="D148" s="39" t="str">
        <f>+'Attachment H'!$B$2&amp;", Page 4, Line "&amp;'Attachment H'!A197</f>
        <v>Attachment H, Page 4, Line 9</v>
      </c>
      <c r="E148" s="178">
        <f>+'Attachment H'!D197</f>
        <v>0</v>
      </c>
      <c r="F148" s="26">
        <v>1</v>
      </c>
      <c r="G148" s="199"/>
      <c r="H148" s="18">
        <f>E148*F148</f>
        <v>0</v>
      </c>
      <c r="I148" s="39"/>
      <c r="J148" s="200" t="s">
        <v>61</v>
      </c>
      <c r="K148" s="28"/>
      <c r="L148" s="28"/>
    </row>
    <row r="149" spans="1:12" ht="16" thickBot="1">
      <c r="A149" s="133">
        <f>+A148+1</f>
        <v>5</v>
      </c>
      <c r="B149" s="24"/>
      <c r="C149" s="30" t="s">
        <v>62</v>
      </c>
      <c r="D149" s="39" t="str">
        <f>+'Attachment H'!$B$2&amp;", Page 4, Line "&amp;'Attachment H'!A198</f>
        <v>Attachment H, Page 4, Line 10</v>
      </c>
      <c r="E149" s="186">
        <f>+'Attachment H'!D198</f>
        <v>0</v>
      </c>
      <c r="F149" s="26">
        <v>0</v>
      </c>
      <c r="G149" s="199"/>
      <c r="H149" s="169">
        <f>E149*F149</f>
        <v>0</v>
      </c>
      <c r="I149" s="39"/>
      <c r="J149" s="201" t="s">
        <v>63</v>
      </c>
      <c r="K149" s="28"/>
      <c r="L149" s="28"/>
    </row>
    <row r="150" spans="1:12">
      <c r="A150" s="133">
        <f>+A149+1</f>
        <v>6</v>
      </c>
      <c r="B150" s="24"/>
      <c r="C150" s="30" t="s">
        <v>711</v>
      </c>
      <c r="D150" s="28" t="s">
        <v>798</v>
      </c>
      <c r="E150" s="178">
        <f>SUM(E146:E149)</f>
        <v>1</v>
      </c>
      <c r="F150" s="28"/>
      <c r="G150" s="28"/>
      <c r="H150" s="18">
        <f>SUM(H146:H149)</f>
        <v>0</v>
      </c>
      <c r="I150" s="202" t="s">
        <v>64</v>
      </c>
      <c r="J150" s="174">
        <f>IF(H150&gt;0,H150/E150,0)</f>
        <v>0</v>
      </c>
      <c r="K150" s="31" t="s">
        <v>64</v>
      </c>
      <c r="L150" s="28" t="s">
        <v>65</v>
      </c>
    </row>
    <row r="151" spans="1:12">
      <c r="B151" s="24"/>
      <c r="C151" s="30" t="s">
        <v>10</v>
      </c>
      <c r="D151" s="28" t="s">
        <v>10</v>
      </c>
      <c r="E151" s="33"/>
      <c r="F151" s="28"/>
      <c r="G151" s="28"/>
      <c r="H151" s="33"/>
      <c r="I151" s="33"/>
      <c r="J151" s="33"/>
      <c r="K151" s="33"/>
      <c r="L151" s="28"/>
    </row>
    <row r="152" spans="1:12">
      <c r="A152" s="133"/>
      <c r="B152" s="24"/>
      <c r="C152" s="30" t="s">
        <v>938</v>
      </c>
      <c r="D152" s="28"/>
      <c r="E152" s="162" t="s">
        <v>58</v>
      </c>
      <c r="F152" s="28"/>
      <c r="G152" s="28"/>
      <c r="H152" s="31" t="s">
        <v>191</v>
      </c>
      <c r="I152" s="35"/>
      <c r="J152" s="171" t="s">
        <v>61</v>
      </c>
      <c r="K152" s="28"/>
      <c r="L152" s="28"/>
    </row>
    <row r="153" spans="1:12">
      <c r="A153" s="133">
        <f>+A150+1</f>
        <v>7</v>
      </c>
      <c r="B153" s="24"/>
      <c r="C153" s="30" t="s">
        <v>450</v>
      </c>
      <c r="D153" s="39" t="str">
        <f>+'Attachment H'!$B$2&amp;", Page 4, Line "&amp;'Attachment H'!A202</f>
        <v>Attachment H, Page 4, Line 13</v>
      </c>
      <c r="E153" s="178">
        <f>'Attachment H'!D202</f>
        <v>15500851.321562758</v>
      </c>
      <c r="F153" s="28"/>
      <c r="G153" s="33"/>
      <c r="H153" s="133" t="s">
        <v>800</v>
      </c>
      <c r="I153" s="203"/>
      <c r="J153" s="133" t="s">
        <v>801</v>
      </c>
      <c r="K153" s="28"/>
      <c r="L153" s="139" t="s">
        <v>183</v>
      </c>
    </row>
    <row r="154" spans="1:12">
      <c r="A154" s="133">
        <f>+A153+1</f>
        <v>8</v>
      </c>
      <c r="B154" s="24"/>
      <c r="C154" s="30" t="s">
        <v>451</v>
      </c>
      <c r="D154" s="39" t="str">
        <f>+'Attachment H'!$B$2&amp;", Page 4, Line "&amp;'Attachment H'!A203</f>
        <v>Attachment H, Page 4, Line 14</v>
      </c>
      <c r="E154" s="178">
        <f>'Attachment H'!D203</f>
        <v>0</v>
      </c>
      <c r="F154" s="28"/>
      <c r="G154" s="33"/>
      <c r="H154" s="174">
        <f>IF(E156&gt;0,E153/E156,0)</f>
        <v>1</v>
      </c>
      <c r="I154" s="204" t="s">
        <v>170</v>
      </c>
      <c r="J154" s="174">
        <f>J150</f>
        <v>0</v>
      </c>
      <c r="K154" s="204" t="s">
        <v>64</v>
      </c>
      <c r="L154" s="174">
        <f>J154*H154</f>
        <v>0</v>
      </c>
    </row>
    <row r="155" spans="1:12" ht="16" thickBot="1">
      <c r="A155" s="133">
        <f>+A154+1</f>
        <v>9</v>
      </c>
      <c r="B155" s="24"/>
      <c r="C155" s="196" t="s">
        <v>452</v>
      </c>
      <c r="D155" s="561" t="str">
        <f>+'Attachment H'!$B$2&amp;", Page 4, Line "&amp;'Attachment H'!A204</f>
        <v>Attachment H, Page 4, Line 15</v>
      </c>
      <c r="E155" s="186">
        <f>'Attachment H'!D204</f>
        <v>0</v>
      </c>
      <c r="F155" s="28"/>
      <c r="G155" s="28"/>
      <c r="H155" s="28" t="s">
        <v>10</v>
      </c>
      <c r="I155" s="28"/>
      <c r="J155" s="28"/>
      <c r="K155" s="28"/>
      <c r="L155" s="28"/>
    </row>
    <row r="156" spans="1:12">
      <c r="A156" s="133">
        <f>+A155+1</f>
        <v>10</v>
      </c>
      <c r="B156" s="24"/>
      <c r="C156" s="30" t="s">
        <v>453</v>
      </c>
      <c r="D156" s="28" t="s">
        <v>797</v>
      </c>
      <c r="E156" s="18">
        <f>E153+E154+E155</f>
        <v>15500851.321562758</v>
      </c>
      <c r="F156" s="28"/>
      <c r="G156" s="28"/>
      <c r="H156" s="28"/>
      <c r="I156" s="28"/>
      <c r="J156" s="28"/>
      <c r="K156" s="28"/>
      <c r="L156" s="28"/>
    </row>
    <row r="157" spans="1:12">
      <c r="A157" s="133">
        <f>+A156+1</f>
        <v>11</v>
      </c>
      <c r="B157" s="24"/>
      <c r="C157" s="30"/>
      <c r="D157" s="28"/>
      <c r="E157" s="33"/>
      <c r="F157" s="28"/>
      <c r="G157" s="28"/>
      <c r="H157" s="28"/>
      <c r="I157" s="28"/>
      <c r="J157" s="28"/>
      <c r="K157" s="28"/>
      <c r="L157" s="28"/>
    </row>
    <row r="158" spans="1:12" ht="16" thickBot="1">
      <c r="A158" s="133"/>
      <c r="B158" s="24"/>
      <c r="C158" s="27" t="s">
        <v>66</v>
      </c>
      <c r="D158" s="28"/>
      <c r="E158" s="28"/>
      <c r="F158" s="28"/>
      <c r="G158" s="28"/>
      <c r="H158" s="28"/>
      <c r="I158" s="28"/>
      <c r="J158" s="29" t="s">
        <v>58</v>
      </c>
      <c r="K158" s="28"/>
      <c r="L158" s="28"/>
    </row>
    <row r="159" spans="1:12">
      <c r="A159" s="133">
        <f>+A157+1</f>
        <v>12</v>
      </c>
      <c r="B159" s="24"/>
      <c r="C159" s="30"/>
      <c r="D159" s="28"/>
      <c r="E159" s="28"/>
      <c r="F159" s="28"/>
      <c r="G159" s="28"/>
      <c r="I159" s="28"/>
      <c r="J159" s="28"/>
      <c r="K159" s="28"/>
      <c r="L159" s="28"/>
    </row>
    <row r="160" spans="1:12" ht="16" thickBot="1">
      <c r="A160" s="133">
        <f>+A159+1</f>
        <v>13</v>
      </c>
      <c r="B160" s="24"/>
      <c r="C160" s="30"/>
      <c r="D160" s="28"/>
      <c r="E160" s="32" t="s">
        <v>58</v>
      </c>
      <c r="G160" s="32" t="s">
        <v>68</v>
      </c>
      <c r="H160" s="29" t="s">
        <v>67</v>
      </c>
      <c r="I160" s="28"/>
      <c r="J160" s="32" t="s">
        <v>69</v>
      </c>
      <c r="K160" s="28"/>
      <c r="L160" s="28"/>
    </row>
    <row r="161" spans="1:14">
      <c r="A161" s="133">
        <f>+A160+1</f>
        <v>14</v>
      </c>
      <c r="B161" s="24"/>
      <c r="C161" s="27" t="s">
        <v>358</v>
      </c>
      <c r="D161" s="39" t="str">
        <f>+'Attachment H'!$B$2&amp;", Page 4, Line "&amp;'Attachment H'!A210</f>
        <v>Attachment H, Page 4, Line 20</v>
      </c>
      <c r="E161" s="178">
        <f>+'Attachment H'!D210</f>
        <v>24340687.305207092</v>
      </c>
      <c r="G161" s="142">
        <f>+'Attachment H'!E210</f>
        <v>0.4</v>
      </c>
      <c r="H161" s="142">
        <f>+'Attachment H'!G210</f>
        <v>0.06</v>
      </c>
      <c r="I161" s="142"/>
      <c r="J161" s="142">
        <f>+'Attachment H'!I210</f>
        <v>2.4E-2</v>
      </c>
      <c r="K161" s="206" t="s">
        <v>70</v>
      </c>
      <c r="L161" s="33"/>
    </row>
    <row r="162" spans="1:14">
      <c r="A162" s="133">
        <f>+A161+1</f>
        <v>15</v>
      </c>
      <c r="B162" s="24"/>
      <c r="C162" s="27" t="s">
        <v>193</v>
      </c>
      <c r="D162" s="39" t="str">
        <f>+'Attachment H'!$B$2&amp;", Page 4, Line "&amp;'Attachment H'!A211</f>
        <v>Attachment H, Page 4, Line 21</v>
      </c>
      <c r="E162" s="178">
        <f>+'Attachment H'!D211</f>
        <v>0</v>
      </c>
      <c r="G162" s="142">
        <f>+'Attachment H'!E211</f>
        <v>0</v>
      </c>
      <c r="H162" s="142">
        <f>+'Attachment H'!G211</f>
        <v>0</v>
      </c>
      <c r="I162" s="142"/>
      <c r="J162" s="142">
        <f>+'Attachment H'!I211</f>
        <v>0</v>
      </c>
      <c r="K162" s="28"/>
      <c r="L162" s="33"/>
    </row>
    <row r="163" spans="1:14" ht="16" thickBot="1">
      <c r="A163" s="133">
        <f>+A162+1</f>
        <v>16</v>
      </c>
      <c r="B163" s="24"/>
      <c r="C163" s="27" t="s">
        <v>466</v>
      </c>
      <c r="D163" s="39" t="str">
        <f>+'Attachment H'!$B$2&amp;", Page 4, Line "&amp;'Attachment H'!A212</f>
        <v>Attachment H, Page 4, Line 22</v>
      </c>
      <c r="E163" s="186">
        <f>+'Attachment H'!D212</f>
        <v>76476833.491334647</v>
      </c>
      <c r="G163" s="142">
        <f>+'Attachment H'!E212</f>
        <v>0.6</v>
      </c>
      <c r="H163" s="559">
        <f>+'Attachment H'!G212</f>
        <v>0.10299999999999999</v>
      </c>
      <c r="I163" s="142"/>
      <c r="J163" s="142">
        <f>+'Attachment H'!I212</f>
        <v>6.1799999999999994E-2</v>
      </c>
      <c r="K163" s="28"/>
      <c r="L163" s="33"/>
    </row>
    <row r="164" spans="1:14">
      <c r="A164" s="133">
        <v>17</v>
      </c>
      <c r="B164" s="24"/>
      <c r="C164" s="30" t="s">
        <v>346</v>
      </c>
      <c r="D164" s="33" t="s">
        <v>796</v>
      </c>
      <c r="E164" s="207">
        <f>SUM(E161:E163)</f>
        <v>100817520.79654174</v>
      </c>
      <c r="F164" s="28" t="s">
        <v>10</v>
      </c>
      <c r="G164" s="142"/>
      <c r="H164" s="142"/>
      <c r="I164" s="142"/>
      <c r="J164" s="142">
        <f>SUM(J161:J163)</f>
        <v>8.5799999999999987E-2</v>
      </c>
      <c r="K164" s="206" t="s">
        <v>71</v>
      </c>
      <c r="L164" s="33"/>
    </row>
    <row r="165" spans="1:14">
      <c r="A165" s="133"/>
      <c r="B165" s="24"/>
      <c r="G165" s="49"/>
      <c r="H165" s="49"/>
      <c r="I165" s="49"/>
      <c r="J165" s="49"/>
      <c r="K165" s="15"/>
      <c r="L165" s="15"/>
      <c r="M165" s="15"/>
      <c r="N165" s="15"/>
    </row>
    <row r="166" spans="1:14">
      <c r="A166" s="133"/>
      <c r="B166" s="24"/>
      <c r="C166" s="15"/>
      <c r="D166" s="15"/>
      <c r="E166" s="15"/>
      <c r="F166" s="15"/>
      <c r="G166" s="15"/>
      <c r="H166" s="15"/>
      <c r="I166" s="15"/>
      <c r="L166" s="15"/>
      <c r="M166" s="15"/>
      <c r="N166" s="15"/>
    </row>
    <row r="167" spans="1:14">
      <c r="A167" s="133"/>
      <c r="B167" s="24"/>
      <c r="C167" s="15"/>
      <c r="D167" s="15"/>
      <c r="E167" s="15"/>
      <c r="F167" s="15"/>
      <c r="G167" s="298" t="s">
        <v>19</v>
      </c>
      <c r="H167" s="15"/>
      <c r="I167" s="15"/>
      <c r="J167" s="15" t="s">
        <v>819</v>
      </c>
      <c r="K167" s="15" t="s">
        <v>821</v>
      </c>
      <c r="L167" s="15"/>
      <c r="M167" s="15"/>
      <c r="N167" s="15"/>
    </row>
    <row r="168" spans="1:14">
      <c r="A168" s="133"/>
      <c r="B168" s="24"/>
      <c r="C168" s="15"/>
      <c r="E168" s="15"/>
      <c r="F168" s="15"/>
      <c r="G168" s="298" t="s">
        <v>825</v>
      </c>
      <c r="H168" s="15"/>
      <c r="I168" s="15"/>
      <c r="J168" s="15" t="s">
        <v>822</v>
      </c>
      <c r="K168" s="15" t="s">
        <v>931</v>
      </c>
      <c r="L168" s="15"/>
      <c r="M168" s="15"/>
      <c r="N168" s="15"/>
    </row>
    <row r="169" spans="1:14">
      <c r="A169" s="133">
        <v>18</v>
      </c>
      <c r="B169" s="24"/>
      <c r="C169" s="578" t="s">
        <v>226</v>
      </c>
      <c r="E169" s="577"/>
      <c r="F169" s="576"/>
      <c r="G169" s="48">
        <f>+J93+J110</f>
        <v>0</v>
      </c>
      <c r="I169" s="48"/>
      <c r="J169" s="37">
        <f>+J32</f>
        <v>0</v>
      </c>
      <c r="K169" s="49">
        <f>IF(J169=0,0,G169/J169)</f>
        <v>0</v>
      </c>
      <c r="L169" s="15"/>
      <c r="M169" s="15"/>
      <c r="N169" s="15"/>
    </row>
    <row r="170" spans="1:14">
      <c r="A170" s="133"/>
      <c r="B170" s="24"/>
      <c r="C170" s="578"/>
      <c r="D170" s="15"/>
      <c r="E170" s="577"/>
      <c r="F170" s="576"/>
      <c r="G170" s="298" t="s">
        <v>19</v>
      </c>
      <c r="H170" s="37"/>
      <c r="I170" s="48"/>
      <c r="J170" s="15" t="s">
        <v>820</v>
      </c>
      <c r="K170" s="15" t="s">
        <v>821</v>
      </c>
      <c r="L170" s="15"/>
      <c r="M170" s="15"/>
      <c r="N170" s="15"/>
    </row>
    <row r="171" spans="1:14">
      <c r="A171" s="133"/>
      <c r="B171" s="24"/>
      <c r="C171" s="578"/>
      <c r="D171" s="15"/>
      <c r="E171" s="577"/>
      <c r="F171" s="576"/>
      <c r="G171" s="298" t="s">
        <v>826</v>
      </c>
      <c r="H171" s="37"/>
      <c r="I171" s="48"/>
      <c r="J171" s="15" t="s">
        <v>822</v>
      </c>
      <c r="K171" s="15" t="s">
        <v>931</v>
      </c>
      <c r="L171" s="15"/>
      <c r="M171" s="15"/>
      <c r="N171" s="15"/>
    </row>
    <row r="172" spans="1:14">
      <c r="A172" s="133">
        <v>19</v>
      </c>
      <c r="B172" s="24"/>
      <c r="C172" s="578" t="s">
        <v>237</v>
      </c>
      <c r="E172" s="15"/>
      <c r="F172" s="15"/>
      <c r="G172" s="48">
        <f>+J125+J128</f>
        <v>-168923.94101360545</v>
      </c>
      <c r="H172" s="48"/>
      <c r="I172" s="48"/>
      <c r="J172" s="18">
        <f>+J48</f>
        <v>0</v>
      </c>
      <c r="K172" s="49">
        <f>IF(J172=0,0,G172/J172)</f>
        <v>0</v>
      </c>
      <c r="L172" s="15"/>
      <c r="M172" s="15"/>
      <c r="N172" s="15"/>
    </row>
    <row r="173" spans="1:14">
      <c r="A173" s="133"/>
      <c r="B173" s="24"/>
      <c r="C173" s="232"/>
      <c r="D173" s="15"/>
      <c r="E173" s="15"/>
      <c r="F173" s="15"/>
      <c r="G173" s="15"/>
      <c r="H173" s="605"/>
      <c r="I173" s="605"/>
      <c r="J173" s="605"/>
      <c r="K173" s="15"/>
      <c r="L173" s="15"/>
      <c r="M173" s="15"/>
      <c r="N173" s="15"/>
    </row>
    <row r="174" spans="1:14">
      <c r="A174" s="133"/>
      <c r="B174" s="24"/>
      <c r="C174" s="15"/>
      <c r="D174" s="15"/>
      <c r="E174" s="15"/>
      <c r="F174" s="15"/>
      <c r="G174" s="15"/>
      <c r="H174" s="15"/>
      <c r="I174" s="15"/>
      <c r="J174" s="15"/>
      <c r="K174" s="15"/>
      <c r="L174" s="15"/>
      <c r="M174" s="15"/>
      <c r="N174" s="15"/>
    </row>
    <row r="175" spans="1:14">
      <c r="A175" s="304"/>
      <c r="B175" s="15"/>
      <c r="C175" s="2"/>
      <c r="D175" s="11"/>
      <c r="E175" s="11" t="s">
        <v>919</v>
      </c>
      <c r="F175" s="15"/>
      <c r="G175" s="11"/>
      <c r="H175" s="11"/>
      <c r="I175" s="11"/>
      <c r="J175" s="11"/>
      <c r="K175" s="11"/>
      <c r="L175" s="11"/>
      <c r="M175" s="15"/>
      <c r="N175" s="15"/>
    </row>
    <row r="176" spans="1:14">
      <c r="A176" s="304"/>
      <c r="B176" s="15"/>
      <c r="C176" s="2"/>
      <c r="D176" s="11" t="s">
        <v>304</v>
      </c>
      <c r="E176" s="3" t="s">
        <v>920</v>
      </c>
      <c r="F176" s="15"/>
      <c r="G176" s="11" t="s">
        <v>307</v>
      </c>
      <c r="H176" s="649" t="s">
        <v>305</v>
      </c>
      <c r="I176" s="15"/>
      <c r="J176" s="11"/>
      <c r="K176" s="650"/>
      <c r="L176" s="650"/>
      <c r="N176" s="15"/>
    </row>
    <row r="177" spans="1:14" ht="26.5">
      <c r="A177" s="305" t="s">
        <v>291</v>
      </c>
      <c r="B177" s="15"/>
      <c r="C177" s="3" t="s">
        <v>252</v>
      </c>
      <c r="D177" s="3" t="s">
        <v>822</v>
      </c>
      <c r="E177" s="555" t="str">
        <f>+D177</f>
        <v>Distribution</v>
      </c>
      <c r="F177" s="15"/>
      <c r="G177" s="3" t="s">
        <v>253</v>
      </c>
      <c r="H177" s="3" t="s">
        <v>254</v>
      </c>
      <c r="I177" s="15"/>
      <c r="J177" s="3"/>
      <c r="K177" s="3"/>
      <c r="L177" s="3"/>
      <c r="N177" s="15"/>
    </row>
    <row r="178" spans="1:14">
      <c r="A178" s="304"/>
      <c r="B178" s="15"/>
      <c r="C178" s="11" t="s">
        <v>292</v>
      </c>
      <c r="D178" s="11" t="s">
        <v>293</v>
      </c>
      <c r="E178" s="11" t="s">
        <v>294</v>
      </c>
      <c r="F178" s="15"/>
      <c r="G178" s="3" t="s">
        <v>295</v>
      </c>
      <c r="H178" s="3" t="s">
        <v>297</v>
      </c>
      <c r="I178" s="15"/>
      <c r="J178" s="3"/>
      <c r="K178" s="4"/>
      <c r="L178" s="4"/>
      <c r="N178" s="15"/>
    </row>
    <row r="179" spans="1:14">
      <c r="A179" s="304"/>
      <c r="B179" s="15"/>
      <c r="C179" s="131"/>
      <c r="D179" s="341"/>
      <c r="E179" s="341"/>
      <c r="F179" s="15"/>
      <c r="G179" s="342"/>
      <c r="H179" s="342"/>
      <c r="I179" s="15"/>
      <c r="J179" s="342"/>
      <c r="K179" s="343"/>
      <c r="L179" s="343"/>
      <c r="N179" s="15"/>
    </row>
    <row r="180" spans="1:14" ht="57" customHeight="1">
      <c r="A180" s="304"/>
      <c r="B180" s="15"/>
      <c r="C180" s="11"/>
      <c r="D180" s="550" t="s">
        <v>426</v>
      </c>
      <c r="E180" s="550" t="s">
        <v>925</v>
      </c>
      <c r="F180" s="298"/>
      <c r="G180" s="550" t="s">
        <v>876</v>
      </c>
      <c r="H180" s="550" t="s">
        <v>809</v>
      </c>
      <c r="I180" s="15"/>
      <c r="J180" s="402"/>
      <c r="K180" s="402"/>
      <c r="L180" s="402"/>
      <c r="N180" s="15"/>
    </row>
    <row r="181" spans="1:14">
      <c r="A181" s="304">
        <f>+A172+1</f>
        <v>20</v>
      </c>
      <c r="B181" s="15"/>
      <c r="C181" s="5" t="s">
        <v>289</v>
      </c>
      <c r="D181" s="6">
        <v>0</v>
      </c>
      <c r="E181" s="6">
        <v>0</v>
      </c>
      <c r="F181" s="15"/>
      <c r="G181" s="6">
        <v>0</v>
      </c>
      <c r="H181" s="6">
        <v>0</v>
      </c>
      <c r="I181" s="15"/>
      <c r="J181" s="449"/>
      <c r="K181" s="651"/>
      <c r="L181" s="651"/>
      <c r="N181" s="15"/>
    </row>
    <row r="182" spans="1:14">
      <c r="A182" s="304">
        <f>+A181+1</f>
        <v>21</v>
      </c>
      <c r="B182" s="15"/>
      <c r="C182" s="5" t="s">
        <v>105</v>
      </c>
      <c r="D182" s="6">
        <v>0</v>
      </c>
      <c r="E182" s="6">
        <v>0</v>
      </c>
      <c r="F182" s="15"/>
      <c r="G182" s="6">
        <v>0</v>
      </c>
      <c r="H182" s="6">
        <v>0</v>
      </c>
      <c r="I182" s="15"/>
      <c r="J182" s="651"/>
      <c r="K182" s="449"/>
      <c r="L182" s="651"/>
      <c r="N182" s="15"/>
    </row>
    <row r="183" spans="1:14">
      <c r="A183" s="304">
        <f t="shared" ref="A183:A194" si="7">+A182+1</f>
        <v>22</v>
      </c>
      <c r="B183" s="15"/>
      <c r="C183" s="1" t="s">
        <v>104</v>
      </c>
      <c r="D183" s="6">
        <v>0</v>
      </c>
      <c r="E183" s="6">
        <v>0</v>
      </c>
      <c r="F183" s="15"/>
      <c r="G183" s="6">
        <v>0</v>
      </c>
      <c r="H183" s="6">
        <v>0</v>
      </c>
      <c r="I183" s="15"/>
      <c r="J183" s="651"/>
      <c r="K183" s="449"/>
      <c r="L183" s="651"/>
      <c r="N183" s="15"/>
    </row>
    <row r="184" spans="1:14">
      <c r="A184" s="304">
        <f t="shared" si="7"/>
        <v>23</v>
      </c>
      <c r="B184" s="15"/>
      <c r="C184" s="1" t="s">
        <v>256</v>
      </c>
      <c r="D184" s="6">
        <v>0</v>
      </c>
      <c r="E184" s="6">
        <v>0</v>
      </c>
      <c r="F184" s="15"/>
      <c r="G184" s="6">
        <v>0</v>
      </c>
      <c r="H184" s="6">
        <v>0</v>
      </c>
      <c r="I184" s="15"/>
      <c r="J184" s="651"/>
      <c r="K184" s="449"/>
      <c r="L184" s="651"/>
      <c r="N184" s="15"/>
    </row>
    <row r="185" spans="1:14">
      <c r="A185" s="304">
        <f t="shared" si="7"/>
        <v>24</v>
      </c>
      <c r="B185" s="15"/>
      <c r="C185" s="1" t="s">
        <v>95</v>
      </c>
      <c r="D185" s="6">
        <v>0</v>
      </c>
      <c r="E185" s="6">
        <v>0</v>
      </c>
      <c r="F185" s="15"/>
      <c r="G185" s="6">
        <v>0</v>
      </c>
      <c r="H185" s="6">
        <v>0</v>
      </c>
      <c r="I185" s="15"/>
      <c r="J185" s="651"/>
      <c r="K185" s="449"/>
      <c r="L185" s="651"/>
      <c r="N185" s="15"/>
    </row>
    <row r="186" spans="1:14">
      <c r="A186" s="304">
        <f t="shared" si="7"/>
        <v>25</v>
      </c>
      <c r="B186" s="15"/>
      <c r="C186" s="1" t="s">
        <v>92</v>
      </c>
      <c r="D186" s="6">
        <f t="shared" ref="D186:D193" si="8">+D185</f>
        <v>0</v>
      </c>
      <c r="E186" s="6">
        <v>0</v>
      </c>
      <c r="F186" s="15"/>
      <c r="G186" s="6">
        <v>0</v>
      </c>
      <c r="H186" s="6">
        <v>0</v>
      </c>
      <c r="I186" s="15"/>
      <c r="J186" s="651"/>
      <c r="K186" s="449"/>
      <c r="L186" s="651"/>
      <c r="N186" s="15"/>
    </row>
    <row r="187" spans="1:14">
      <c r="A187" s="304">
        <f t="shared" si="7"/>
        <v>26</v>
      </c>
      <c r="B187" s="15"/>
      <c r="C187" s="1" t="s">
        <v>145</v>
      </c>
      <c r="D187" s="6">
        <f t="shared" si="8"/>
        <v>0</v>
      </c>
      <c r="E187" s="6">
        <v>0</v>
      </c>
      <c r="F187" s="15"/>
      <c r="G187" s="6">
        <v>0</v>
      </c>
      <c r="H187" s="6">
        <v>0</v>
      </c>
      <c r="I187" s="15"/>
      <c r="J187" s="651"/>
      <c r="K187" s="449"/>
      <c r="L187" s="651"/>
      <c r="N187" s="15"/>
    </row>
    <row r="188" spans="1:14">
      <c r="A188" s="304">
        <f t="shared" si="7"/>
        <v>27</v>
      </c>
      <c r="B188" s="15"/>
      <c r="C188" s="1" t="s">
        <v>102</v>
      </c>
      <c r="D188" s="6">
        <f t="shared" si="8"/>
        <v>0</v>
      </c>
      <c r="E188" s="6">
        <v>0</v>
      </c>
      <c r="F188" s="15"/>
      <c r="G188" s="6">
        <v>0</v>
      </c>
      <c r="H188" s="6">
        <v>0</v>
      </c>
      <c r="I188" s="15"/>
      <c r="J188" s="651"/>
      <c r="K188" s="449"/>
      <c r="L188" s="651"/>
      <c r="N188" s="15"/>
    </row>
    <row r="189" spans="1:14">
      <c r="A189" s="304">
        <f t="shared" si="7"/>
        <v>28</v>
      </c>
      <c r="B189" s="15"/>
      <c r="C189" s="1" t="s">
        <v>257</v>
      </c>
      <c r="D189" s="6">
        <f t="shared" si="8"/>
        <v>0</v>
      </c>
      <c r="E189" s="6">
        <v>0</v>
      </c>
      <c r="F189" s="15"/>
      <c r="G189" s="6">
        <v>0</v>
      </c>
      <c r="H189" s="6">
        <v>0</v>
      </c>
      <c r="I189" s="15"/>
      <c r="J189" s="651"/>
      <c r="K189" s="449"/>
      <c r="L189" s="651"/>
      <c r="N189" s="15"/>
    </row>
    <row r="190" spans="1:14">
      <c r="A190" s="304">
        <f t="shared" si="7"/>
        <v>29</v>
      </c>
      <c r="B190" s="15"/>
      <c r="C190" s="1" t="s">
        <v>100</v>
      </c>
      <c r="D190" s="6">
        <f t="shared" si="8"/>
        <v>0</v>
      </c>
      <c r="E190" s="6">
        <v>0</v>
      </c>
      <c r="F190" s="15"/>
      <c r="G190" s="6">
        <v>0</v>
      </c>
      <c r="H190" s="6">
        <v>0</v>
      </c>
      <c r="I190" s="15"/>
      <c r="J190" s="651"/>
      <c r="K190" s="449"/>
      <c r="L190" s="651"/>
      <c r="N190" s="15"/>
    </row>
    <row r="191" spans="1:14">
      <c r="A191" s="304">
        <f t="shared" si="7"/>
        <v>30</v>
      </c>
      <c r="B191" s="15"/>
      <c r="C191" s="1" t="s">
        <v>106</v>
      </c>
      <c r="D191" s="6">
        <f t="shared" si="8"/>
        <v>0</v>
      </c>
      <c r="E191" s="6">
        <v>0</v>
      </c>
      <c r="F191" s="15"/>
      <c r="G191" s="6">
        <v>0</v>
      </c>
      <c r="H191" s="6">
        <v>0</v>
      </c>
      <c r="I191" s="15"/>
      <c r="J191" s="651"/>
      <c r="K191" s="449"/>
      <c r="L191" s="651"/>
      <c r="N191" s="15"/>
    </row>
    <row r="192" spans="1:14">
      <c r="A192" s="304">
        <f t="shared" si="7"/>
        <v>31</v>
      </c>
      <c r="B192" s="15"/>
      <c r="C192" s="1" t="s">
        <v>99</v>
      </c>
      <c r="D192" s="6">
        <f t="shared" si="8"/>
        <v>0</v>
      </c>
      <c r="E192" s="6">
        <v>0</v>
      </c>
      <c r="F192" s="15"/>
      <c r="G192" s="6">
        <v>0</v>
      </c>
      <c r="H192" s="6">
        <v>0</v>
      </c>
      <c r="I192" s="15"/>
      <c r="J192" s="651"/>
      <c r="K192" s="449"/>
      <c r="L192" s="651"/>
      <c r="N192" s="15"/>
    </row>
    <row r="193" spans="1:14">
      <c r="A193" s="304">
        <f t="shared" si="7"/>
        <v>32</v>
      </c>
      <c r="B193" s="15"/>
      <c r="C193" s="1" t="s">
        <v>290</v>
      </c>
      <c r="D193" s="6">
        <f t="shared" si="8"/>
        <v>0</v>
      </c>
      <c r="E193" s="6">
        <v>0</v>
      </c>
      <c r="F193" s="15"/>
      <c r="G193" s="6">
        <v>0</v>
      </c>
      <c r="H193" s="6">
        <v>0</v>
      </c>
      <c r="I193" s="15"/>
      <c r="J193" s="651"/>
      <c r="K193" s="449"/>
      <c r="L193" s="651"/>
      <c r="N193" s="15"/>
    </row>
    <row r="194" spans="1:14" ht="16" thickBot="1">
      <c r="A194" s="304">
        <f t="shared" si="7"/>
        <v>33</v>
      </c>
      <c r="B194" s="15"/>
      <c r="C194" s="7" t="s">
        <v>416</v>
      </c>
      <c r="D194" s="8">
        <f t="shared" ref="D194" si="9">SUM(D181:D193)/13</f>
        <v>0</v>
      </c>
      <c r="E194" s="8">
        <f>SUM(E181:E193)/13</f>
        <v>0</v>
      </c>
      <c r="F194" s="15"/>
      <c r="G194" s="8">
        <f>SUM(G181:G193)/13</f>
        <v>0</v>
      </c>
      <c r="H194" s="8">
        <f>SUM(H181:H193)/13</f>
        <v>0</v>
      </c>
      <c r="I194" s="15"/>
      <c r="J194" s="625"/>
      <c r="K194" s="625"/>
      <c r="L194" s="625"/>
      <c r="N194" s="15"/>
    </row>
    <row r="195" spans="1:14" ht="16" thickTop="1">
      <c r="A195" s="15"/>
      <c r="B195" s="15"/>
      <c r="C195" s="15"/>
      <c r="D195" s="15"/>
      <c r="E195" s="15"/>
      <c r="F195" s="15"/>
      <c r="G195" s="15"/>
      <c r="H195" s="15"/>
      <c r="I195" s="15"/>
      <c r="J195" s="15"/>
      <c r="K195" s="15"/>
      <c r="L195" s="15"/>
      <c r="M195" s="15"/>
      <c r="N195" s="15"/>
    </row>
    <row r="198" spans="1:14">
      <c r="A198" s="304"/>
      <c r="C198" s="298" t="s">
        <v>921</v>
      </c>
      <c r="D198" s="436"/>
      <c r="E198" s="436"/>
      <c r="G198" s="436"/>
      <c r="H198" s="436"/>
      <c r="I198" s="436"/>
      <c r="J198" s="15"/>
      <c r="K198" s="15"/>
    </row>
    <row r="199" spans="1:14">
      <c r="A199" s="304"/>
      <c r="C199" s="298" t="s">
        <v>292</v>
      </c>
      <c r="D199" s="298" t="s">
        <v>293</v>
      </c>
      <c r="E199" s="298" t="s">
        <v>294</v>
      </c>
      <c r="G199" s="298" t="s">
        <v>295</v>
      </c>
      <c r="H199" s="298" t="s">
        <v>297</v>
      </c>
      <c r="J199" s="298" t="s">
        <v>296</v>
      </c>
      <c r="K199" s="298" t="s">
        <v>298</v>
      </c>
      <c r="L199" s="298" t="s">
        <v>299</v>
      </c>
    </row>
    <row r="200" spans="1:14" ht="131.25" customHeight="1">
      <c r="A200" s="304">
        <f>+A194+1</f>
        <v>34</v>
      </c>
      <c r="C200" s="242" t="s">
        <v>602</v>
      </c>
      <c r="D200" s="246"/>
      <c r="E200" s="437" t="s">
        <v>19</v>
      </c>
      <c r="G200" s="437" t="s">
        <v>603</v>
      </c>
      <c r="H200" s="437" t="s">
        <v>604</v>
      </c>
      <c r="J200" s="437" t="s">
        <v>605</v>
      </c>
      <c r="K200" s="438" t="s">
        <v>606</v>
      </c>
      <c r="L200" s="438" t="s">
        <v>607</v>
      </c>
    </row>
    <row r="201" spans="1:14">
      <c r="A201" s="304" t="s">
        <v>922</v>
      </c>
      <c r="C201" s="15"/>
      <c r="D201" s="439" t="s">
        <v>609</v>
      </c>
      <c r="E201" s="440">
        <v>0</v>
      </c>
      <c r="G201" s="440">
        <v>0</v>
      </c>
      <c r="H201" s="441"/>
      <c r="J201" s="441"/>
      <c r="K201" s="440"/>
      <c r="L201" s="442">
        <f t="shared" ref="L201:L206" si="10">+K201*G201*E201*H201*J201</f>
        <v>0</v>
      </c>
    </row>
    <row r="202" spans="1:14">
      <c r="A202" s="304" t="s">
        <v>923</v>
      </c>
      <c r="C202" s="15"/>
      <c r="D202" s="439" t="s">
        <v>611</v>
      </c>
      <c r="E202" s="443">
        <v>0</v>
      </c>
      <c r="G202" s="440">
        <v>0</v>
      </c>
      <c r="H202" s="441"/>
      <c r="J202" s="441"/>
      <c r="K202" s="440"/>
      <c r="L202" s="442">
        <f t="shared" si="10"/>
        <v>0</v>
      </c>
    </row>
    <row r="203" spans="1:14">
      <c r="A203" s="304" t="s">
        <v>924</v>
      </c>
      <c r="C203" s="15"/>
      <c r="D203" s="439" t="s">
        <v>613</v>
      </c>
      <c r="E203" s="443"/>
      <c r="G203" s="440"/>
      <c r="H203" s="441"/>
      <c r="J203" s="441"/>
      <c r="K203" s="440"/>
      <c r="L203" s="442">
        <f t="shared" si="10"/>
        <v>0</v>
      </c>
    </row>
    <row r="204" spans="1:14">
      <c r="A204" s="304" t="s">
        <v>501</v>
      </c>
      <c r="C204" s="15"/>
      <c r="D204" s="439"/>
      <c r="E204" s="443"/>
      <c r="G204" s="440"/>
      <c r="H204" s="441"/>
      <c r="J204" s="441"/>
      <c r="K204" s="440"/>
      <c r="L204" s="442">
        <f t="shared" si="10"/>
        <v>0</v>
      </c>
    </row>
    <row r="205" spans="1:14">
      <c r="A205" s="304" t="s">
        <v>501</v>
      </c>
      <c r="C205" s="15"/>
      <c r="D205" s="439" t="s">
        <v>501</v>
      </c>
      <c r="E205" s="443"/>
      <c r="G205" s="440"/>
      <c r="H205" s="441"/>
      <c r="J205" s="441"/>
      <c r="K205" s="440"/>
      <c r="L205" s="442">
        <f t="shared" si="10"/>
        <v>0</v>
      </c>
    </row>
    <row r="206" spans="1:14">
      <c r="A206" s="304" t="s">
        <v>501</v>
      </c>
      <c r="C206" s="15"/>
      <c r="D206" s="444" t="s">
        <v>501</v>
      </c>
      <c r="E206" s="445">
        <v>0</v>
      </c>
      <c r="G206" s="446">
        <v>0</v>
      </c>
      <c r="H206" s="447"/>
      <c r="J206" s="447"/>
      <c r="K206" s="446"/>
      <c r="L206" s="448">
        <f t="shared" si="10"/>
        <v>0</v>
      </c>
    </row>
    <row r="207" spans="1:14">
      <c r="A207" s="304">
        <v>36</v>
      </c>
      <c r="C207" s="15"/>
      <c r="D207" s="242" t="s">
        <v>21</v>
      </c>
      <c r="E207" s="449">
        <f>SUM(E201:E206)</f>
        <v>0</v>
      </c>
      <c r="G207" s="112"/>
      <c r="H207" s="14"/>
      <c r="J207" s="14"/>
      <c r="K207" s="112"/>
      <c r="L207" s="442">
        <f>SUM(L201:L206)</f>
        <v>0</v>
      </c>
    </row>
    <row r="209" spans="1:10" ht="67.5" customHeight="1">
      <c r="A209" s="450" t="s">
        <v>75</v>
      </c>
      <c r="B209" s="973" t="s">
        <v>753</v>
      </c>
      <c r="C209" s="973"/>
      <c r="D209" s="973"/>
      <c r="E209" s="973"/>
      <c r="F209" s="973"/>
      <c r="G209" s="973"/>
      <c r="H209" s="973"/>
      <c r="I209" s="973"/>
      <c r="J209" s="973"/>
    </row>
    <row r="210" spans="1:10" ht="28.5" customHeight="1">
      <c r="A210" s="450" t="s">
        <v>76</v>
      </c>
      <c r="B210" s="955" t="s">
        <v>1072</v>
      </c>
      <c r="C210" s="955"/>
      <c r="D210" s="955"/>
      <c r="E210" s="955"/>
      <c r="F210" s="955"/>
      <c r="G210" s="955"/>
      <c r="H210" s="955"/>
      <c r="I210" s="955"/>
      <c r="J210" s="955"/>
    </row>
  </sheetData>
  <mergeCells count="4">
    <mergeCell ref="B209:J209"/>
    <mergeCell ref="G28:H28"/>
    <mergeCell ref="G27:H27"/>
    <mergeCell ref="B210:J210"/>
  </mergeCells>
  <pageMargins left="0.7" right="0.7" top="0.75" bottom="0.75" header="0.3" footer="0.3"/>
  <pageSetup scale="40" fitToHeight="0" orientation="portrait" r:id="rId1"/>
  <rowBreaks count="3" manualBreakCount="3">
    <brk id="18" max="16383" man="1"/>
    <brk id="75" max="16383" man="1"/>
    <brk id="131" max="16383" man="1"/>
  </rowBreaks>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K61"/>
  <sheetViews>
    <sheetView topLeftCell="A15" workbookViewId="0"/>
  </sheetViews>
  <sheetFormatPr defaultRowHeight="15.5"/>
  <cols>
    <col min="2" max="2" width="27.3046875" customWidth="1"/>
    <col min="4" max="4" width="11.69140625" customWidth="1"/>
    <col min="5" max="5" width="14.765625" customWidth="1"/>
    <col min="6" max="6" width="13.3046875" customWidth="1"/>
    <col min="7" max="7" width="12.07421875" customWidth="1"/>
    <col min="8" max="8" width="12.84375" customWidth="1"/>
    <col min="10" max="10" width="10.84375" customWidth="1"/>
    <col min="11" max="11" width="11" customWidth="1"/>
  </cols>
  <sheetData>
    <row r="1" spans="1:11">
      <c r="A1" s="24"/>
      <c r="B1" s="24"/>
      <c r="C1" s="24"/>
      <c r="D1" s="24"/>
      <c r="E1" s="24"/>
      <c r="F1" s="24"/>
      <c r="G1" s="24"/>
      <c r="H1" s="24"/>
      <c r="I1" s="24"/>
      <c r="J1" s="19" t="s">
        <v>891</v>
      </c>
      <c r="K1" s="24"/>
    </row>
    <row r="2" spans="1:11">
      <c r="A2" s="24"/>
      <c r="B2" s="24"/>
      <c r="C2" s="24"/>
      <c r="D2" s="24"/>
      <c r="E2" s="24"/>
      <c r="F2" s="24"/>
      <c r="G2" s="24"/>
      <c r="H2" s="24"/>
      <c r="I2" s="24"/>
      <c r="J2" s="24"/>
      <c r="K2" s="24"/>
    </row>
    <row r="3" spans="1:11">
      <c r="A3" s="24"/>
      <c r="B3" s="24"/>
      <c r="C3" s="24"/>
      <c r="D3" s="24"/>
      <c r="E3" s="24"/>
      <c r="F3" s="24"/>
      <c r="G3" s="24"/>
      <c r="H3" s="24"/>
      <c r="I3" s="24"/>
      <c r="J3" s="24"/>
      <c r="K3" s="24"/>
    </row>
    <row r="4" spans="1:11">
      <c r="A4" s="24"/>
      <c r="B4" s="24"/>
      <c r="C4" s="24"/>
      <c r="D4" s="24"/>
      <c r="E4" s="24"/>
      <c r="F4" s="24"/>
      <c r="G4" s="24"/>
      <c r="H4" s="24"/>
      <c r="I4" s="24"/>
      <c r="J4" s="24"/>
      <c r="K4" s="24"/>
    </row>
    <row r="5" spans="1:11">
      <c r="A5" s="525"/>
      <c r="B5" s="24"/>
      <c r="C5" s="24"/>
      <c r="D5" s="19"/>
      <c r="E5" s="20" t="s">
        <v>965</v>
      </c>
      <c r="F5" s="19"/>
      <c r="G5" s="19"/>
      <c r="H5" s="24"/>
      <c r="I5" s="19"/>
      <c r="J5" s="19"/>
      <c r="K5" s="19"/>
    </row>
    <row r="6" spans="1:11">
      <c r="A6" s="525"/>
      <c r="B6" s="24"/>
      <c r="C6" s="24"/>
      <c r="D6" s="19"/>
      <c r="E6" s="416" t="s">
        <v>964</v>
      </c>
      <c r="F6" s="22"/>
      <c r="G6" s="22"/>
      <c r="H6" s="24"/>
      <c r="I6" s="22"/>
      <c r="J6" s="22"/>
      <c r="K6" s="22"/>
    </row>
    <row r="7" spans="1:11">
      <c r="A7" s="525"/>
      <c r="B7" s="24"/>
      <c r="C7" s="25"/>
      <c r="D7" s="25"/>
      <c r="E7" s="139" t="str">
        <f>+'2-Incentive ROE'!F5</f>
        <v>Gridliance High Plains LLC</v>
      </c>
      <c r="F7" s="25"/>
      <c r="G7" s="25"/>
      <c r="H7" s="24"/>
      <c r="I7" s="25"/>
      <c r="J7" s="25"/>
      <c r="K7" s="25"/>
    </row>
    <row r="8" spans="1:11">
      <c r="A8" s="526"/>
      <c r="B8" s="24"/>
      <c r="C8" s="24"/>
      <c r="D8" s="24"/>
      <c r="E8" s="63"/>
      <c r="F8" s="63"/>
      <c r="G8" s="63"/>
      <c r="H8" s="24"/>
      <c r="I8" s="25"/>
      <c r="J8" s="25"/>
      <c r="K8" s="25"/>
    </row>
    <row r="9" spans="1:11">
      <c r="A9" s="527"/>
      <c r="B9" s="15"/>
      <c r="C9" s="15"/>
      <c r="D9" s="15"/>
      <c r="E9" s="15"/>
      <c r="F9" s="15"/>
      <c r="G9" s="15"/>
      <c r="H9" s="15"/>
      <c r="I9" s="15"/>
      <c r="J9" s="15"/>
      <c r="K9" s="298"/>
    </row>
    <row r="10" spans="1:11">
      <c r="A10" s="527"/>
      <c r="B10" s="15"/>
      <c r="C10" s="15"/>
      <c r="D10" s="968" t="s">
        <v>887</v>
      </c>
      <c r="E10" s="969"/>
      <c r="F10" s="452"/>
      <c r="G10" s="454" t="s">
        <v>627</v>
      </c>
      <c r="H10" s="452"/>
      <c r="I10" s="455"/>
      <c r="J10" s="455"/>
      <c r="K10" s="453"/>
    </row>
    <row r="11" spans="1:11" ht="16">
      <c r="A11" s="527">
        <v>1</v>
      </c>
      <c r="B11" s="15" t="s">
        <v>886</v>
      </c>
      <c r="C11" s="15"/>
      <c r="D11" s="970" t="s">
        <v>888</v>
      </c>
      <c r="E11" s="971"/>
      <c r="F11" s="647" t="s">
        <v>732</v>
      </c>
      <c r="G11" s="456" t="s">
        <v>628</v>
      </c>
      <c r="H11" s="647" t="s">
        <v>629</v>
      </c>
      <c r="I11" s="270"/>
      <c r="J11" s="270"/>
      <c r="K11" s="630"/>
    </row>
    <row r="12" spans="1:11">
      <c r="A12" s="527">
        <v>2</v>
      </c>
      <c r="B12" s="457"/>
      <c r="C12" s="15"/>
      <c r="D12" s="458"/>
      <c r="E12" s="458"/>
      <c r="F12" s="528">
        <v>0</v>
      </c>
      <c r="G12" s="459"/>
      <c r="H12" s="458"/>
      <c r="I12" s="458"/>
      <c r="J12" s="458"/>
      <c r="K12" s="452"/>
    </row>
    <row r="13" spans="1:11">
      <c r="A13" s="403"/>
      <c r="B13" s="460" t="s">
        <v>75</v>
      </c>
      <c r="C13" s="460" t="s">
        <v>76</v>
      </c>
      <c r="D13" s="456" t="s">
        <v>77</v>
      </c>
      <c r="E13" s="456" t="s">
        <v>78</v>
      </c>
      <c r="F13" s="454" t="s">
        <v>79</v>
      </c>
      <c r="G13" s="460" t="s">
        <v>80</v>
      </c>
      <c r="H13" s="461" t="s">
        <v>81</v>
      </c>
      <c r="I13" s="461" t="s">
        <v>83</v>
      </c>
      <c r="J13" s="461" t="s">
        <v>84</v>
      </c>
      <c r="K13" s="530" t="s">
        <v>85</v>
      </c>
    </row>
    <row r="14" spans="1:11">
      <c r="A14" s="527"/>
      <c r="B14" s="458"/>
      <c r="C14" s="454"/>
      <c r="D14" s="454"/>
      <c r="E14" s="529" t="s">
        <v>733</v>
      </c>
      <c r="F14" s="454"/>
      <c r="G14" s="454"/>
      <c r="H14" s="458"/>
      <c r="I14" s="454"/>
      <c r="J14" s="458"/>
      <c r="K14" s="458"/>
    </row>
    <row r="15" spans="1:11">
      <c r="A15" s="527"/>
      <c r="B15" s="459"/>
      <c r="C15" s="461"/>
      <c r="D15" s="461" t="s">
        <v>879</v>
      </c>
      <c r="E15" s="530" t="s">
        <v>21</v>
      </c>
      <c r="F15" s="461" t="s">
        <v>632</v>
      </c>
      <c r="G15" s="461" t="s">
        <v>878</v>
      </c>
      <c r="H15" s="461" t="s">
        <v>630</v>
      </c>
      <c r="I15" s="461"/>
      <c r="J15" s="461" t="s">
        <v>502</v>
      </c>
      <c r="K15" s="461"/>
    </row>
    <row r="16" spans="1:11">
      <c r="A16" s="527"/>
      <c r="B16" s="461" t="s">
        <v>642</v>
      </c>
      <c r="C16" s="461"/>
      <c r="D16" s="461" t="s">
        <v>631</v>
      </c>
      <c r="E16" s="530" t="s">
        <v>734</v>
      </c>
      <c r="F16" s="461" t="s">
        <v>637</v>
      </c>
      <c r="G16" s="461" t="s">
        <v>631</v>
      </c>
      <c r="H16" s="461" t="s">
        <v>553</v>
      </c>
      <c r="I16" s="454" t="s">
        <v>694</v>
      </c>
      <c r="J16" s="461" t="s">
        <v>633</v>
      </c>
      <c r="K16" s="461" t="s">
        <v>735</v>
      </c>
    </row>
    <row r="17" spans="1:11" ht="16">
      <c r="A17" s="527"/>
      <c r="B17" s="456" t="s">
        <v>634</v>
      </c>
      <c r="C17" s="456" t="s">
        <v>635</v>
      </c>
      <c r="D17" s="456" t="s">
        <v>636</v>
      </c>
      <c r="E17" s="530" t="s">
        <v>628</v>
      </c>
      <c r="F17" s="532" t="s">
        <v>880</v>
      </c>
      <c r="G17" s="456" t="s">
        <v>736</v>
      </c>
      <c r="H17" s="456" t="s">
        <v>881</v>
      </c>
      <c r="I17" s="461" t="s">
        <v>737</v>
      </c>
      <c r="J17" s="456" t="s">
        <v>738</v>
      </c>
      <c r="K17" s="456" t="s">
        <v>882</v>
      </c>
    </row>
    <row r="18" spans="1:11">
      <c r="A18" s="527">
        <v>3</v>
      </c>
      <c r="B18" s="478"/>
      <c r="C18" s="478"/>
      <c r="D18" s="533">
        <v>0</v>
      </c>
      <c r="E18" s="534">
        <f>IF(D$39=0,0,D18/D$39)</f>
        <v>0</v>
      </c>
      <c r="F18" s="535">
        <f>IF(F$12=0,0,#REF!*F$12)</f>
        <v>0</v>
      </c>
      <c r="G18" s="536">
        <v>0</v>
      </c>
      <c r="H18" s="537">
        <f t="shared" ref="H18:H37" si="0">+G18-F18</f>
        <v>0</v>
      </c>
      <c r="I18" s="538">
        <v>0</v>
      </c>
      <c r="J18" s="537">
        <f t="shared" ref="J18:J37" si="1">(H18+I18)*((J$41/12)*24)</f>
        <v>0</v>
      </c>
      <c r="K18" s="537">
        <f>+H18+J18+I18</f>
        <v>0</v>
      </c>
    </row>
    <row r="19" spans="1:11">
      <c r="A19" s="527" t="s">
        <v>739</v>
      </c>
      <c r="B19" s="478"/>
      <c r="C19" s="478"/>
      <c r="D19" s="539">
        <v>0</v>
      </c>
      <c r="E19" s="540">
        <f t="shared" ref="E19:E37" si="2">IF(D$39=0,0,D19/D$39)</f>
        <v>0</v>
      </c>
      <c r="F19" s="535">
        <f>IF(F$12=0,0,#REF!*F$12)</f>
        <v>0</v>
      </c>
      <c r="G19" s="541">
        <v>0</v>
      </c>
      <c r="H19" s="540">
        <f t="shared" si="0"/>
        <v>0</v>
      </c>
      <c r="I19" s="542">
        <v>0</v>
      </c>
      <c r="J19" s="537">
        <f t="shared" si="1"/>
        <v>0</v>
      </c>
      <c r="K19" s="537">
        <f t="shared" ref="K19:K37" si="3">+H19+J19+I19</f>
        <v>0</v>
      </c>
    </row>
    <row r="20" spans="1:11">
      <c r="A20" s="527" t="s">
        <v>740</v>
      </c>
      <c r="B20" s="478"/>
      <c r="C20" s="478"/>
      <c r="D20" s="539">
        <v>0</v>
      </c>
      <c r="E20" s="540">
        <f t="shared" si="2"/>
        <v>0</v>
      </c>
      <c r="F20" s="535">
        <f>IF(F$12=0,0,#REF!*F$12)</f>
        <v>0</v>
      </c>
      <c r="G20" s="541">
        <v>0</v>
      </c>
      <c r="H20" s="540">
        <f t="shared" si="0"/>
        <v>0</v>
      </c>
      <c r="I20" s="542">
        <v>0</v>
      </c>
      <c r="J20" s="537">
        <f t="shared" si="1"/>
        <v>0</v>
      </c>
      <c r="K20" s="537">
        <f t="shared" si="3"/>
        <v>0</v>
      </c>
    </row>
    <row r="21" spans="1:11">
      <c r="A21" s="527" t="s">
        <v>741</v>
      </c>
      <c r="B21" s="478"/>
      <c r="C21" s="478"/>
      <c r="D21" s="539">
        <v>0</v>
      </c>
      <c r="E21" s="540">
        <f t="shared" si="2"/>
        <v>0</v>
      </c>
      <c r="F21" s="535">
        <f>IF(F$12=0,0,#REF!*F$12)</f>
        <v>0</v>
      </c>
      <c r="G21" s="541">
        <v>0</v>
      </c>
      <c r="H21" s="540">
        <f t="shared" si="0"/>
        <v>0</v>
      </c>
      <c r="I21" s="542">
        <v>0</v>
      </c>
      <c r="J21" s="537">
        <f t="shared" si="1"/>
        <v>0</v>
      </c>
      <c r="K21" s="537">
        <f t="shared" si="3"/>
        <v>0</v>
      </c>
    </row>
    <row r="22" spans="1:11">
      <c r="A22" s="527"/>
      <c r="B22" s="478"/>
      <c r="C22" s="478"/>
      <c r="D22" s="539">
        <v>0</v>
      </c>
      <c r="E22" s="540">
        <f t="shared" si="2"/>
        <v>0</v>
      </c>
      <c r="F22" s="535">
        <f>IF(F$12=0,0,#REF!*F$12)</f>
        <v>0</v>
      </c>
      <c r="G22" s="541">
        <v>0</v>
      </c>
      <c r="H22" s="540">
        <f t="shared" si="0"/>
        <v>0</v>
      </c>
      <c r="I22" s="542">
        <v>0</v>
      </c>
      <c r="J22" s="537">
        <f t="shared" si="1"/>
        <v>0</v>
      </c>
      <c r="K22" s="537">
        <f t="shared" si="3"/>
        <v>0</v>
      </c>
    </row>
    <row r="23" spans="1:11">
      <c r="A23" s="527"/>
      <c r="B23" s="478"/>
      <c r="C23" s="478"/>
      <c r="D23" s="539">
        <v>0</v>
      </c>
      <c r="E23" s="540">
        <f t="shared" si="2"/>
        <v>0</v>
      </c>
      <c r="F23" s="535">
        <f>IF(F$12=0,0,#REF!*F$12)</f>
        <v>0</v>
      </c>
      <c r="G23" s="541">
        <v>0</v>
      </c>
      <c r="H23" s="540">
        <f t="shared" si="0"/>
        <v>0</v>
      </c>
      <c r="I23" s="542">
        <v>0</v>
      </c>
      <c r="J23" s="537">
        <f t="shared" si="1"/>
        <v>0</v>
      </c>
      <c r="K23" s="537">
        <f t="shared" si="3"/>
        <v>0</v>
      </c>
    </row>
    <row r="24" spans="1:11">
      <c r="A24" s="527"/>
      <c r="B24" s="478"/>
      <c r="C24" s="478"/>
      <c r="D24" s="539">
        <v>0</v>
      </c>
      <c r="E24" s="540">
        <f t="shared" si="2"/>
        <v>0</v>
      </c>
      <c r="F24" s="535">
        <f>IF(F$12=0,0,#REF!*F$12)</f>
        <v>0</v>
      </c>
      <c r="G24" s="541">
        <v>0</v>
      </c>
      <c r="H24" s="540">
        <f t="shared" si="0"/>
        <v>0</v>
      </c>
      <c r="I24" s="542">
        <v>0</v>
      </c>
      <c r="J24" s="537">
        <f t="shared" si="1"/>
        <v>0</v>
      </c>
      <c r="K24" s="537">
        <f t="shared" si="3"/>
        <v>0</v>
      </c>
    </row>
    <row r="25" spans="1:11">
      <c r="A25" s="527"/>
      <c r="B25" s="478"/>
      <c r="C25" s="478"/>
      <c r="D25" s="539">
        <v>0</v>
      </c>
      <c r="E25" s="540">
        <f t="shared" si="2"/>
        <v>0</v>
      </c>
      <c r="F25" s="535">
        <f>IF(F$12=0,0,#REF!*F$12)</f>
        <v>0</v>
      </c>
      <c r="G25" s="541">
        <v>0</v>
      </c>
      <c r="H25" s="540">
        <f t="shared" si="0"/>
        <v>0</v>
      </c>
      <c r="I25" s="542">
        <v>0</v>
      </c>
      <c r="J25" s="537">
        <f t="shared" si="1"/>
        <v>0</v>
      </c>
      <c r="K25" s="537">
        <f t="shared" si="3"/>
        <v>0</v>
      </c>
    </row>
    <row r="26" spans="1:11">
      <c r="A26" s="527"/>
      <c r="B26" s="478"/>
      <c r="C26" s="478"/>
      <c r="D26" s="539">
        <v>0</v>
      </c>
      <c r="E26" s="540">
        <f t="shared" si="2"/>
        <v>0</v>
      </c>
      <c r="F26" s="535">
        <f>IF(F$12=0,0,#REF!*F$12)</f>
        <v>0</v>
      </c>
      <c r="G26" s="541">
        <v>0</v>
      </c>
      <c r="H26" s="540">
        <f t="shared" si="0"/>
        <v>0</v>
      </c>
      <c r="I26" s="542">
        <v>0</v>
      </c>
      <c r="J26" s="537">
        <f t="shared" si="1"/>
        <v>0</v>
      </c>
      <c r="K26" s="537">
        <f t="shared" si="3"/>
        <v>0</v>
      </c>
    </row>
    <row r="27" spans="1:11">
      <c r="A27" s="527"/>
      <c r="B27" s="478"/>
      <c r="C27" s="478"/>
      <c r="D27" s="539">
        <v>0</v>
      </c>
      <c r="E27" s="540">
        <f t="shared" si="2"/>
        <v>0</v>
      </c>
      <c r="F27" s="535">
        <f>IF(F$12=0,0,#REF!*F$12)</f>
        <v>0</v>
      </c>
      <c r="G27" s="541">
        <v>0</v>
      </c>
      <c r="H27" s="540">
        <f t="shared" si="0"/>
        <v>0</v>
      </c>
      <c r="I27" s="542">
        <v>0</v>
      </c>
      <c r="J27" s="537">
        <f t="shared" si="1"/>
        <v>0</v>
      </c>
      <c r="K27" s="537">
        <f t="shared" si="3"/>
        <v>0</v>
      </c>
    </row>
    <row r="28" spans="1:11">
      <c r="A28" s="527"/>
      <c r="B28" s="478"/>
      <c r="C28" s="478"/>
      <c r="D28" s="539">
        <v>0</v>
      </c>
      <c r="E28" s="540">
        <f t="shared" si="2"/>
        <v>0</v>
      </c>
      <c r="F28" s="535">
        <f>IF(F$12=0,0,#REF!*F$12)</f>
        <v>0</v>
      </c>
      <c r="G28" s="541">
        <v>0</v>
      </c>
      <c r="H28" s="540">
        <f t="shared" si="0"/>
        <v>0</v>
      </c>
      <c r="I28" s="542">
        <v>0</v>
      </c>
      <c r="J28" s="537">
        <f t="shared" si="1"/>
        <v>0</v>
      </c>
      <c r="K28" s="537">
        <f t="shared" si="3"/>
        <v>0</v>
      </c>
    </row>
    <row r="29" spans="1:11">
      <c r="A29" s="527"/>
      <c r="B29" s="478"/>
      <c r="C29" s="478"/>
      <c r="D29" s="539">
        <v>0</v>
      </c>
      <c r="E29" s="540">
        <f t="shared" si="2"/>
        <v>0</v>
      </c>
      <c r="F29" s="535">
        <f>IF(F$12=0,0,#REF!*F$12)</f>
        <v>0</v>
      </c>
      <c r="G29" s="541">
        <v>0</v>
      </c>
      <c r="H29" s="540">
        <f t="shared" si="0"/>
        <v>0</v>
      </c>
      <c r="I29" s="542">
        <v>0</v>
      </c>
      <c r="J29" s="537">
        <f t="shared" si="1"/>
        <v>0</v>
      </c>
      <c r="K29" s="537">
        <f t="shared" si="3"/>
        <v>0</v>
      </c>
    </row>
    <row r="30" spans="1:11">
      <c r="A30" s="527"/>
      <c r="B30" s="478"/>
      <c r="C30" s="478"/>
      <c r="D30" s="539">
        <v>0</v>
      </c>
      <c r="E30" s="540">
        <f t="shared" si="2"/>
        <v>0</v>
      </c>
      <c r="F30" s="535">
        <f>IF(F$12=0,0,#REF!*F$12)</f>
        <v>0</v>
      </c>
      <c r="G30" s="541">
        <v>0</v>
      </c>
      <c r="H30" s="540">
        <f t="shared" si="0"/>
        <v>0</v>
      </c>
      <c r="I30" s="542">
        <v>0</v>
      </c>
      <c r="J30" s="537">
        <f t="shared" si="1"/>
        <v>0</v>
      </c>
      <c r="K30" s="537">
        <f t="shared" si="3"/>
        <v>0</v>
      </c>
    </row>
    <row r="31" spans="1:11">
      <c r="A31" s="527"/>
      <c r="B31" s="478"/>
      <c r="C31" s="478"/>
      <c r="D31" s="539">
        <v>0</v>
      </c>
      <c r="E31" s="540">
        <f t="shared" si="2"/>
        <v>0</v>
      </c>
      <c r="F31" s="535">
        <f>IF(F$12=0,0,#REF!*F$12)</f>
        <v>0</v>
      </c>
      <c r="G31" s="541">
        <v>0</v>
      </c>
      <c r="H31" s="540">
        <f t="shared" si="0"/>
        <v>0</v>
      </c>
      <c r="I31" s="542">
        <v>0</v>
      </c>
      <c r="J31" s="537">
        <f t="shared" si="1"/>
        <v>0</v>
      </c>
      <c r="K31" s="537">
        <f t="shared" si="3"/>
        <v>0</v>
      </c>
    </row>
    <row r="32" spans="1:11">
      <c r="A32" s="527"/>
      <c r="B32" s="478"/>
      <c r="C32" s="478"/>
      <c r="D32" s="539">
        <v>0</v>
      </c>
      <c r="E32" s="540">
        <f t="shared" si="2"/>
        <v>0</v>
      </c>
      <c r="F32" s="535">
        <f>IF(F$12=0,0,#REF!*F$12)</f>
        <v>0</v>
      </c>
      <c r="G32" s="541">
        <v>0</v>
      </c>
      <c r="H32" s="540">
        <f t="shared" si="0"/>
        <v>0</v>
      </c>
      <c r="I32" s="542">
        <v>0</v>
      </c>
      <c r="J32" s="537">
        <f t="shared" si="1"/>
        <v>0</v>
      </c>
      <c r="K32" s="537">
        <f t="shared" si="3"/>
        <v>0</v>
      </c>
    </row>
    <row r="33" spans="1:11">
      <c r="A33" s="527"/>
      <c r="B33" s="478"/>
      <c r="C33" s="478"/>
      <c r="D33" s="539">
        <v>0</v>
      </c>
      <c r="E33" s="540">
        <f t="shared" si="2"/>
        <v>0</v>
      </c>
      <c r="F33" s="535">
        <f>IF(F$12=0,0,#REF!*F$12)</f>
        <v>0</v>
      </c>
      <c r="G33" s="541">
        <v>0</v>
      </c>
      <c r="H33" s="540">
        <f t="shared" si="0"/>
        <v>0</v>
      </c>
      <c r="I33" s="542">
        <v>0</v>
      </c>
      <c r="J33" s="537">
        <f t="shared" si="1"/>
        <v>0</v>
      </c>
      <c r="K33" s="537">
        <f t="shared" si="3"/>
        <v>0</v>
      </c>
    </row>
    <row r="34" spans="1:11">
      <c r="A34" s="527"/>
      <c r="B34" s="478"/>
      <c r="C34" s="478"/>
      <c r="D34" s="539">
        <v>0</v>
      </c>
      <c r="E34" s="540">
        <f t="shared" si="2"/>
        <v>0</v>
      </c>
      <c r="F34" s="535">
        <f>IF(F$12=0,0,#REF!*F$12)</f>
        <v>0</v>
      </c>
      <c r="G34" s="541">
        <v>0</v>
      </c>
      <c r="H34" s="540">
        <f t="shared" si="0"/>
        <v>0</v>
      </c>
      <c r="I34" s="542">
        <v>0</v>
      </c>
      <c r="J34" s="537">
        <f t="shared" si="1"/>
        <v>0</v>
      </c>
      <c r="K34" s="537">
        <f t="shared" si="3"/>
        <v>0</v>
      </c>
    </row>
    <row r="35" spans="1:11">
      <c r="A35" s="527"/>
      <c r="B35" s="478"/>
      <c r="C35" s="478"/>
      <c r="D35" s="539">
        <v>0</v>
      </c>
      <c r="E35" s="540">
        <f t="shared" si="2"/>
        <v>0</v>
      </c>
      <c r="F35" s="535">
        <f>IF(F$12=0,0,#REF!*F$12)</f>
        <v>0</v>
      </c>
      <c r="G35" s="541">
        <v>0</v>
      </c>
      <c r="H35" s="540">
        <f t="shared" si="0"/>
        <v>0</v>
      </c>
      <c r="I35" s="542">
        <v>0</v>
      </c>
      <c r="J35" s="537">
        <f t="shared" si="1"/>
        <v>0</v>
      </c>
      <c r="K35" s="537">
        <f t="shared" si="3"/>
        <v>0</v>
      </c>
    </row>
    <row r="36" spans="1:11">
      <c r="A36" s="527"/>
      <c r="B36" s="478"/>
      <c r="C36" s="478"/>
      <c r="D36" s="539">
        <v>0</v>
      </c>
      <c r="E36" s="540">
        <f t="shared" si="2"/>
        <v>0</v>
      </c>
      <c r="F36" s="535">
        <f>IF(F$12=0,0,#REF!*F$12)</f>
        <v>0</v>
      </c>
      <c r="G36" s="541">
        <v>0</v>
      </c>
      <c r="H36" s="540">
        <f t="shared" si="0"/>
        <v>0</v>
      </c>
      <c r="I36" s="542">
        <v>0</v>
      </c>
      <c r="J36" s="537">
        <f t="shared" si="1"/>
        <v>0</v>
      </c>
      <c r="K36" s="537">
        <f t="shared" si="3"/>
        <v>0</v>
      </c>
    </row>
    <row r="37" spans="1:11">
      <c r="A37" s="527"/>
      <c r="B37" s="478"/>
      <c r="C37" s="478"/>
      <c r="D37" s="539">
        <v>0</v>
      </c>
      <c r="E37" s="540">
        <f t="shared" si="2"/>
        <v>0</v>
      </c>
      <c r="F37" s="535">
        <f>IF(F$12=0,0,#REF!*F$12)</f>
        <v>0</v>
      </c>
      <c r="G37" s="541">
        <v>0</v>
      </c>
      <c r="H37" s="540">
        <f t="shared" si="0"/>
        <v>0</v>
      </c>
      <c r="I37" s="542">
        <v>0</v>
      </c>
      <c r="J37" s="537">
        <f t="shared" si="1"/>
        <v>0</v>
      </c>
      <c r="K37" s="537">
        <f t="shared" si="3"/>
        <v>0</v>
      </c>
    </row>
    <row r="38" spans="1:11">
      <c r="A38" s="527"/>
      <c r="B38" s="462"/>
      <c r="C38" s="462"/>
      <c r="D38" s="543"/>
      <c r="E38" s="544"/>
      <c r="F38" s="270"/>
      <c r="G38" s="463"/>
      <c r="H38" s="462"/>
      <c r="I38" s="462"/>
      <c r="J38" s="462"/>
      <c r="K38" s="462"/>
    </row>
    <row r="39" spans="1:11">
      <c r="A39" s="527">
        <v>4</v>
      </c>
      <c r="B39" s="15" t="s">
        <v>687</v>
      </c>
      <c r="C39" s="15"/>
      <c r="D39" s="545">
        <f t="shared" ref="D39:F39" si="4">SUM(D18:D38)</f>
        <v>0</v>
      </c>
      <c r="E39" s="545">
        <f t="shared" si="4"/>
        <v>0</v>
      </c>
      <c r="F39" s="545">
        <f t="shared" si="4"/>
        <v>0</v>
      </c>
      <c r="G39" s="545">
        <f>SUM(G18:G38)</f>
        <v>0</v>
      </c>
      <c r="H39" s="545">
        <f>SUM(H18:H38)</f>
        <v>0</v>
      </c>
      <c r="I39" s="545"/>
      <c r="J39" s="545">
        <f>SUM(J18:J38)</f>
        <v>0</v>
      </c>
      <c r="K39" s="545">
        <f>SUM(K18:K38)</f>
        <v>0</v>
      </c>
    </row>
    <row r="40" spans="1:11">
      <c r="A40" s="527"/>
      <c r="B40" s="15"/>
      <c r="C40" s="15"/>
      <c r="D40" s="545"/>
      <c r="E40" s="545"/>
      <c r="F40" s="545"/>
      <c r="G40" s="545"/>
      <c r="H40" s="545"/>
      <c r="I40" s="545"/>
      <c r="J40" s="545"/>
      <c r="K40" s="545"/>
    </row>
    <row r="41" spans="1:11">
      <c r="A41" s="527"/>
      <c r="B41" s="15"/>
      <c r="C41" s="15"/>
      <c r="D41" s="545"/>
      <c r="E41" s="545"/>
      <c r="F41" s="545"/>
      <c r="G41" s="545" t="s">
        <v>638</v>
      </c>
      <c r="H41" s="545"/>
      <c r="I41" s="545"/>
      <c r="J41" s="546">
        <v>0</v>
      </c>
      <c r="K41" s="545"/>
    </row>
    <row r="42" spans="1:11">
      <c r="A42" s="527"/>
      <c r="B42" s="15"/>
      <c r="C42" s="15"/>
      <c r="D42" s="545"/>
      <c r="E42" s="545"/>
      <c r="F42" s="545"/>
      <c r="G42" s="545" t="s">
        <v>639</v>
      </c>
      <c r="H42" s="545"/>
      <c r="I42" s="545"/>
      <c r="J42" s="545">
        <f>+J39</f>
        <v>0</v>
      </c>
      <c r="K42" s="545"/>
    </row>
    <row r="43" spans="1:11">
      <c r="A43" s="527"/>
      <c r="B43" s="15" t="s">
        <v>274</v>
      </c>
      <c r="C43" s="15"/>
      <c r="D43" s="15"/>
      <c r="E43" s="15"/>
      <c r="F43" s="15"/>
      <c r="G43" s="15"/>
      <c r="H43" s="15"/>
      <c r="I43" s="15"/>
      <c r="J43" s="15"/>
      <c r="K43" s="15"/>
    </row>
    <row r="44" spans="1:11">
      <c r="A44" s="527"/>
      <c r="B44" s="15" t="s">
        <v>967</v>
      </c>
      <c r="C44" s="15"/>
      <c r="D44" s="15"/>
      <c r="E44" s="15"/>
      <c r="F44" s="15"/>
      <c r="G44" s="15"/>
      <c r="H44" s="15"/>
      <c r="I44" s="15"/>
      <c r="J44" s="15"/>
      <c r="K44" s="15"/>
    </row>
    <row r="45" spans="1:11">
      <c r="A45" s="527"/>
      <c r="B45" s="15" t="s">
        <v>968</v>
      </c>
      <c r="C45" s="15"/>
      <c r="D45" s="15"/>
      <c r="E45" s="15"/>
      <c r="F45" s="15"/>
      <c r="G45" s="15"/>
      <c r="H45" s="15"/>
      <c r="I45" s="15"/>
      <c r="J45" s="15"/>
      <c r="K45" s="15"/>
    </row>
    <row r="46" spans="1:11">
      <c r="A46" s="527"/>
      <c r="B46" s="15" t="s">
        <v>969</v>
      </c>
      <c r="C46" s="15"/>
      <c r="D46" s="15"/>
      <c r="E46" s="15"/>
      <c r="F46" s="15"/>
      <c r="G46" s="15"/>
      <c r="H46" s="15"/>
      <c r="I46" s="15"/>
      <c r="J46" s="15"/>
      <c r="K46" s="15"/>
    </row>
    <row r="47" spans="1:11">
      <c r="A47" s="527"/>
      <c r="B47" s="24" t="s">
        <v>884</v>
      </c>
      <c r="C47" s="15"/>
      <c r="D47" s="15"/>
      <c r="E47" s="15"/>
      <c r="F47" s="15"/>
      <c r="G47" s="15"/>
      <c r="H47" s="15"/>
      <c r="I47" s="15"/>
      <c r="J47" s="15"/>
      <c r="K47" s="15"/>
    </row>
    <row r="48" spans="1:11">
      <c r="A48" s="527"/>
      <c r="B48" s="15" t="s">
        <v>853</v>
      </c>
      <c r="C48" s="15"/>
      <c r="D48" s="15"/>
      <c r="E48" s="15"/>
      <c r="F48" s="15"/>
      <c r="G48" s="15"/>
      <c r="H48" s="15"/>
      <c r="I48" s="15"/>
      <c r="J48" s="15"/>
      <c r="K48" s="15"/>
    </row>
    <row r="49" spans="1:11">
      <c r="A49" s="527"/>
      <c r="B49" s="464" t="s">
        <v>885</v>
      </c>
      <c r="C49" s="15"/>
      <c r="D49" s="15"/>
      <c r="E49" s="15"/>
      <c r="F49" s="15"/>
      <c r="G49" s="15"/>
      <c r="H49" s="15"/>
      <c r="I49" s="15"/>
      <c r="J49" s="15"/>
      <c r="K49" s="15"/>
    </row>
    <row r="52" spans="1:11">
      <c r="A52" s="547" t="s">
        <v>742</v>
      </c>
      <c r="B52" s="24"/>
      <c r="C52" s="24"/>
      <c r="D52" s="26"/>
      <c r="E52" s="26"/>
      <c r="F52" s="26"/>
      <c r="G52" s="26"/>
      <c r="H52" s="26"/>
      <c r="I52" s="24"/>
      <c r="J52" s="24"/>
      <c r="K52" s="24"/>
    </row>
    <row r="53" spans="1:11">
      <c r="A53" s="548"/>
      <c r="B53" s="51" t="s">
        <v>292</v>
      </c>
      <c r="C53" s="465" t="s">
        <v>293</v>
      </c>
      <c r="D53" s="51" t="s">
        <v>294</v>
      </c>
      <c r="E53" s="51" t="s">
        <v>295</v>
      </c>
      <c r="F53" s="51"/>
      <c r="G53" s="24"/>
      <c r="H53" s="24"/>
      <c r="I53" s="24"/>
      <c r="J53" s="24"/>
      <c r="K53" s="24"/>
    </row>
    <row r="54" spans="1:11">
      <c r="A54" s="548"/>
      <c r="B54" s="466" t="str">
        <f>+A52</f>
        <v>Prior Period Adjustment</v>
      </c>
      <c r="C54" s="467" t="s">
        <v>19</v>
      </c>
      <c r="D54" s="467" t="s">
        <v>502</v>
      </c>
      <c r="E54" s="467" t="s">
        <v>21</v>
      </c>
      <c r="F54" s="24"/>
      <c r="G54" s="24"/>
      <c r="H54" s="24"/>
      <c r="I54" s="24"/>
      <c r="J54" s="24"/>
      <c r="K54" s="24"/>
    </row>
    <row r="55" spans="1:11">
      <c r="A55" s="548"/>
      <c r="B55" s="468" t="s">
        <v>743</v>
      </c>
      <c r="C55" s="469" t="s">
        <v>640</v>
      </c>
      <c r="D55" s="469" t="s">
        <v>600</v>
      </c>
      <c r="E55" s="469" t="s">
        <v>641</v>
      </c>
      <c r="F55" s="24"/>
      <c r="G55" s="24"/>
      <c r="H55" s="24"/>
      <c r="I55" s="24"/>
      <c r="J55" s="24"/>
      <c r="K55" s="24"/>
    </row>
    <row r="56" spans="1:11">
      <c r="A56" s="548" t="s">
        <v>216</v>
      </c>
      <c r="B56" s="470">
        <v>0</v>
      </c>
      <c r="C56" s="471">
        <v>0</v>
      </c>
      <c r="D56" s="471">
        <v>0</v>
      </c>
      <c r="E56" s="472">
        <f>+C56+D56</f>
        <v>0</v>
      </c>
      <c r="F56" s="24"/>
      <c r="G56" s="24"/>
      <c r="H56" s="24"/>
      <c r="I56" s="24"/>
      <c r="J56" s="24"/>
      <c r="K56" s="24"/>
    </row>
    <row r="57" spans="1:11">
      <c r="A57" s="548"/>
      <c r="B57" s="473"/>
      <c r="C57" s="46"/>
      <c r="D57" s="46"/>
      <c r="E57" s="372"/>
      <c r="F57" s="24"/>
      <c r="G57" s="24"/>
      <c r="H57" s="24"/>
      <c r="I57" s="24"/>
      <c r="J57" s="24"/>
      <c r="K57" s="24"/>
    </row>
    <row r="58" spans="1:11">
      <c r="A58" s="548"/>
      <c r="B58" s="24"/>
      <c r="C58" s="24"/>
      <c r="D58" s="24"/>
      <c r="E58" s="24"/>
      <c r="F58" s="24"/>
      <c r="G58" s="24"/>
      <c r="H58" s="18"/>
      <c r="I58" s="24"/>
      <c r="J58" s="24"/>
      <c r="K58" s="24"/>
    </row>
    <row r="59" spans="1:11">
      <c r="A59" s="548"/>
      <c r="B59" s="24"/>
      <c r="C59" s="15"/>
      <c r="D59" s="474"/>
      <c r="E59" s="474"/>
      <c r="F59" s="474"/>
      <c r="G59" s="474"/>
      <c r="H59" s="474"/>
      <c r="I59" s="474"/>
      <c r="J59" s="24"/>
      <c r="K59" s="24"/>
    </row>
    <row r="60" spans="1:11" ht="67.5" customHeight="1">
      <c r="A60" s="549" t="s">
        <v>274</v>
      </c>
      <c r="B60" s="115" t="s">
        <v>75</v>
      </c>
      <c r="C60" s="972" t="s">
        <v>966</v>
      </c>
      <c r="D60" s="972"/>
      <c r="E60" s="972"/>
      <c r="F60" s="972"/>
      <c r="G60" s="972"/>
      <c r="H60" s="972"/>
      <c r="I60" s="972"/>
      <c r="J60" s="972"/>
      <c r="K60" s="24"/>
    </row>
    <row r="61" spans="1:11" ht="34.5" customHeight="1">
      <c r="A61" s="548"/>
      <c r="B61" s="450" t="s">
        <v>76</v>
      </c>
      <c r="C61" s="966" t="s">
        <v>744</v>
      </c>
      <c r="D61" s="966"/>
      <c r="E61" s="966"/>
      <c r="F61" s="966"/>
      <c r="G61" s="966"/>
      <c r="H61" s="966"/>
      <c r="I61" s="966"/>
      <c r="J61" s="24"/>
      <c r="K61" s="24"/>
    </row>
  </sheetData>
  <mergeCells count="4">
    <mergeCell ref="D10:E10"/>
    <mergeCell ref="D11:E11"/>
    <mergeCell ref="C60:J60"/>
    <mergeCell ref="C61:I61"/>
  </mergeCells>
  <pageMargins left="0.7" right="0.7" top="0.75" bottom="0.75" header="0.3" footer="0.3"/>
  <pageSetup scale="54" fitToHeight="0"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DD10FF7E10AC4DB513CF7E905DCC46" ma:contentTypeVersion="14" ma:contentTypeDescription="Create a new document." ma:contentTypeScope="" ma:versionID="6550e555d298f322e1cdf8218275e057">
  <xsd:schema xmlns:xsd="http://www.w3.org/2001/XMLSchema" xmlns:xs="http://www.w3.org/2001/XMLSchema" xmlns:p="http://schemas.microsoft.com/office/2006/metadata/properties" xmlns:ns1="http://schemas.microsoft.com/sharepoint/v3" xmlns:ns2="0a428985-589e-4636-af6f-a5dd626f16b5" xmlns:ns3="2215fc16-02a1-4a5d-a281-157c6e03c2e4" targetNamespace="http://schemas.microsoft.com/office/2006/metadata/properties" ma:root="true" ma:fieldsID="244dd3965d74aa88200c9fa437b897c0" ns1:_="" ns2:_="" ns3:_="">
    <xsd:import namespace="http://schemas.microsoft.com/sharepoint/v3"/>
    <xsd:import namespace="0a428985-589e-4636-af6f-a5dd626f16b5"/>
    <xsd:import namespace="2215fc16-02a1-4a5d-a281-157c6e03c2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28985-589e-4636-af6f-a5dd626f1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379444-718f-4044-93bd-bdc834bc632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15fc16-02a1-4a5d-a281-157c6e03c2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c431f4-3afe-40bf-8475-5b890f96253e}" ma:internalName="TaxCatchAll" ma:showField="CatchAllData" ma:web="2215fc16-02a1-4a5d-a281-157c6e03c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215fc16-02a1-4a5d-a281-157c6e03c2e4" xsi:nil="true"/>
    <_ip_UnifiedCompliancePolicyUIAction xmlns="http://schemas.microsoft.com/sharepoint/v3" xsi:nil="true"/>
    <_ip_UnifiedCompliancePolicyProperties xmlns="http://schemas.microsoft.com/sharepoint/v3" xsi:nil="true"/>
    <lcf76f155ced4ddcb4097134ff3c332f xmlns="0a428985-589e-4636-af6f-a5dd626f16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23D70-A657-44DA-B12B-0E0123C8D40A}">
  <ds:schemaRefs>
    <ds:schemaRef ds:uri="http://schemas.microsoft.com/sharepoint/v3/contenttype/forms"/>
  </ds:schemaRefs>
</ds:datastoreItem>
</file>

<file path=customXml/itemProps2.xml><?xml version="1.0" encoding="utf-8"?>
<ds:datastoreItem xmlns:ds="http://schemas.openxmlformats.org/officeDocument/2006/customXml" ds:itemID="{94648455-4D20-4441-BACC-CD18A1094712}"/>
</file>

<file path=customXml/itemProps3.xml><?xml version="1.0" encoding="utf-8"?>
<ds:datastoreItem xmlns:ds="http://schemas.openxmlformats.org/officeDocument/2006/customXml" ds:itemID="{988DBC8E-E135-4F5E-ADEE-BD14D77AAFE6}">
  <ds:schemaRefs>
    <ds:schemaRef ds:uri="http://schemas.microsoft.com/office/infopath/2007/PartnerControls"/>
    <ds:schemaRef ds:uri="http://purl.org/dc/terms/"/>
    <ds:schemaRef ds:uri="http://schemas.microsoft.com/office/2006/documentManagement/types"/>
    <ds:schemaRef ds:uri="44bb2e18-b621-4b79-9709-e425321f44c0"/>
    <ds:schemaRef ds:uri="http://schemas.openxmlformats.org/package/2006/metadata/core-properties"/>
    <ds:schemaRef ds:uri="http://purl.org/dc/elements/1.1/"/>
    <ds:schemaRef ds:uri="http://schemas.microsoft.com/office/2006/metadata/properties"/>
    <ds:schemaRef ds:uri="57fd0499-4d08-43aa-b485-74857217199e"/>
    <ds:schemaRef ds:uri="http://www.w3.org/XML/1998/namespace"/>
    <ds:schemaRef ds:uri="http://purl.org/dc/dcmitype/"/>
    <ds:schemaRef ds:uri="2215fc16-02a1-4a5d-a281-157c6e03c2e4"/>
    <ds:schemaRef ds:uri="http://schemas.microsoft.com/sharepoint/v3"/>
    <ds:schemaRef ds:uri="0a428985-589e-4636-af6f-a5dd626f16b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Attachment H</vt:lpstr>
      <vt:lpstr>1-Project Rev Req</vt:lpstr>
      <vt:lpstr>2-Incentive ROE</vt:lpstr>
      <vt:lpstr>3-Project True-up</vt:lpstr>
      <vt:lpstr>4- Rate Base</vt:lpstr>
      <vt:lpstr>4a-ADIT Projection</vt:lpstr>
      <vt:lpstr>4b-ADIT Projection Proration</vt:lpstr>
      <vt:lpstr>4c- ADIT BOY</vt:lpstr>
      <vt:lpstr>4d- ADIT EOY</vt:lpstr>
      <vt:lpstr>4e-ADIT True-up</vt:lpstr>
      <vt:lpstr>4f-ADIT True-up Proration</vt:lpstr>
      <vt:lpstr>5-P3 Support</vt:lpstr>
      <vt:lpstr>6-True-Up Interest</vt:lpstr>
      <vt:lpstr>7 - PBOP</vt:lpstr>
      <vt:lpstr>8-Construction Loan</vt:lpstr>
      <vt:lpstr>9 - Const Loan True-up</vt:lpstr>
      <vt:lpstr>10-Dep Rates</vt:lpstr>
      <vt:lpstr>GLHP Taxes</vt:lpstr>
      <vt:lpstr>GLHP Excess Deferreds</vt:lpstr>
      <vt:lpstr>11-Wholesale Distribution</vt:lpstr>
      <vt:lpstr>11a-Wholesale Distribution </vt:lpstr>
      <vt:lpstr>12 Wholesale Dist True-Up</vt:lpstr>
      <vt:lpstr>'10-Dep Rates'!Print_Area</vt:lpstr>
      <vt:lpstr>'11a-Wholesale Distribution '!Print_Area</vt:lpstr>
      <vt:lpstr>'11-Wholesale Distribution'!Print_Area</vt:lpstr>
      <vt:lpstr>'1-Project Rev Req'!Print_Area</vt:lpstr>
      <vt:lpstr>'2-Incentive ROE'!Print_Area</vt:lpstr>
      <vt:lpstr>'3-Project True-up'!Print_Area</vt:lpstr>
      <vt:lpstr>'4- Rate Base'!Print_Area</vt:lpstr>
      <vt:lpstr>'4a-ADIT Projection'!Print_Area</vt:lpstr>
      <vt:lpstr>'4b-ADIT Projection Proration'!Print_Area</vt:lpstr>
      <vt:lpstr>'4c- ADIT BOY'!Print_Area</vt:lpstr>
      <vt:lpstr>'4d- ADIT EOY'!Print_Area</vt:lpstr>
      <vt:lpstr>'4e-ADIT True-up'!Print_Area</vt:lpstr>
      <vt:lpstr>'4f-ADIT True-up Proration'!Print_Area</vt:lpstr>
      <vt:lpstr>'5-P3 Support'!Print_Area</vt:lpstr>
      <vt:lpstr>'7 - PBOP'!Print_Area</vt:lpstr>
      <vt:lpstr>'8-Construction Loan'!Print_Area</vt:lpstr>
      <vt:lpstr>'Attachment H'!Print_Area</vt:lpstr>
      <vt:lpstr>'GLHP Taxes'!Print_Area</vt:lpstr>
      <vt:lpstr>'4a-ADIT Projection'!Print_Titles</vt:lpstr>
      <vt:lpstr>'4b-ADIT Projection Proration'!Print_Titles</vt:lpstr>
      <vt:lpstr>'4e-ADIT True-up'!Print_Titles</vt:lpstr>
      <vt:lpstr>'4f-ADIT True-up Proration'!Print_Titles</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Greene, Benjamin</cp:lastModifiedBy>
  <cp:lastPrinted>2023-09-29T17:35:55Z</cp:lastPrinted>
  <dcterms:created xsi:type="dcterms:W3CDTF">1970-01-01T04:00:00Z</dcterms:created>
  <dcterms:modified xsi:type="dcterms:W3CDTF">2026-09-24T03:23:07Z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D">
    <vt:lpwstr>C:\Documents and Settings\hcurlee\Local Settings\Temporary Internet Files\Content.Outlook\N3FKE9C2\RITELine Reg Asset formula final 7-12-2011.xls</vt:lpwstr>
  </property>
  <property fmtid="{D5CDD505-2E9C-101B-9397-08002B2CF9AE}" pid="3" name="_NewReviewCycle">
    <vt:lpwstr/>
  </property>
  <property fmtid="{D5CDD505-2E9C-101B-9397-08002B2CF9AE}" pid="4" name="ContentTypeId">
    <vt:lpwstr>0x010100D6DD10FF7E10AC4DB513CF7E905DCC46</vt:lpwstr>
  </property>
  <property fmtid="{D5CDD505-2E9C-101B-9397-08002B2CF9AE}" pid="5" name="_dlc_DocIdItemGuid">
    <vt:lpwstr>517232c4-5f2b-419c-ba46-5444f2c99e79</vt:lpwstr>
  </property>
  <property fmtid="{D5CDD505-2E9C-101B-9397-08002B2CF9AE}" pid="6" name="{A44787D4-0540-4523-9961-78E4036D8C6D}">
    <vt:lpwstr>{7A29DD10-A22F-40BD-9C41-8777F6BA9C44}</vt:lpwstr>
  </property>
  <property fmtid="{D5CDD505-2E9C-101B-9397-08002B2CF9AE}" pid="7" name="Department">
    <vt:lpwstr/>
  </property>
  <property fmtid="{D5CDD505-2E9C-101B-9397-08002B2CF9AE}" pid="8" name="CustomUiType">
    <vt:lpwstr>2</vt:lpwstr>
  </property>
  <property fmtid="{D5CDD505-2E9C-101B-9397-08002B2CF9AE}" pid="9" name="MediaServiceImageTags">
    <vt:lpwstr/>
  </property>
</Properties>
</file>