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embeddings/oleObject1.bin" ContentType="application/vnd.openxmlformats-officedocument.oleObject"/>
  <Default Extension="vml" ContentType="application/vnd.openxmlformats-officedocument.vmlDrawing"/>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drawings/drawing3.xml" ContentType="application/vnd.openxmlformats-officedocument.drawing+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x15="http://schemas.microsoft.com/office/spreadsheetml/2010/11/main" xmlns:xr6="http://schemas.microsoft.com/office/spreadsheetml/2016/revision6" xmlns:mc="http://schemas.openxmlformats.org/markup-compatibility/2006" xmlns:xr2="http://schemas.microsoft.com/office/spreadsheetml/2015/revision2" xmlns:xr="http://schemas.microsoft.com/office/spreadsheetml/2014/revision" xmlns:xr10="http://schemas.microsoft.com/office/spreadsheetml/2016/revision10"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earzola\OneDrive - Gridliance\Projects\GHP\2021 Projection\Dx 2021 Proj\Post\"/>
    </mc:Choice>
  </mc:AlternateContent>
  <bookViews>
    <workbookView xWindow="-120" yWindow="-120" windowWidth="29040" windowHeight="15840" tabRatio="895" activeTab="0"/>
  </bookViews>
  <sheets>
    <sheet name="Attachment H" sheetId="4" r:id="rId2"/>
    <sheet name="1-Project Rev Req" sheetId="5" r:id="rId3"/>
    <sheet name="2-Incentive ROE" sheetId="6" r:id="rId4"/>
    <sheet name="3-Project True-up" sheetId="7" r:id="rId5"/>
    <sheet name="4- Rate Base" sheetId="8" r:id="rId6"/>
    <sheet name="5-P3 Support" sheetId="9" r:id="rId7"/>
    <sheet name="4a - ADIT Projection" sheetId="10" r:id="rId8"/>
    <sheet name="4b - ADIT Projection Proration" sheetId="11" r:id="rId9"/>
    <sheet name="4c - ADIT BOY" sheetId="12" r:id="rId10"/>
    <sheet name="4d - ADIT EOY" sheetId="13" r:id="rId11"/>
    <sheet name="4e - ADIT True-up" sheetId="14" r:id="rId12"/>
    <sheet name="4f - ADIT True-up Proration" sheetId="15" r:id="rId13"/>
    <sheet name="4g - Exc-Def ADIT Worksheet" sheetId="16" r:id="rId14"/>
    <sheet name="4h - ADIT Remeasurement" sheetId="17" r:id="rId15"/>
    <sheet name="6-True-Up Interest" sheetId="18" r:id="rId16"/>
    <sheet name="7 - PBOP" sheetId="19" r:id="rId17"/>
    <sheet name="8-Construction Loan" sheetId="20" r:id="rId18"/>
    <sheet name="9 - Const Loan True-up" sheetId="21" r:id="rId19"/>
    <sheet name="10-Dep Rates" sheetId="22" r:id="rId20"/>
    <sheet name="13 - Income Tax Allowance " sheetId="23" r:id="rId21"/>
    <sheet name="13a - Actual ownership" sheetId="24" r:id="rId22"/>
    <sheet name="11-Wholesale Distribution" sheetId="3" r:id="rId23"/>
    <sheet name="11a-Wholesale Distribution " sheetId="1" r:id="rId24"/>
    <sheet name="12 Wholesale Dist True-Up" sheetId="2" r:id="rId25"/>
  </sheets>
  <definedNames>
    <definedName name="___INDEX_SHEET___ASAP_Utilities" localSheetId="13">#REF!</definedName>
    <definedName name="___WSH7" localSheetId="13">#REF!</definedName>
    <definedName name="__WSH7">#REF!</definedName>
    <definedName name="_1E_1">#N/A</definedName>
    <definedName name="_31_Dec_00" localSheetId="21">#REF!</definedName>
    <definedName name="_31_Dec_00" localSheetId="2">#REF!</definedName>
    <definedName name="_31_Dec_00" localSheetId="17">#REF!</definedName>
    <definedName name="_31_Dec_00">#REF!</definedName>
    <definedName name="_31_Jan_01" localSheetId="21">#REF!</definedName>
    <definedName name="_31_Jan_01" localSheetId="17">#REF!</definedName>
    <definedName name="_31_Jan_01">#REF!</definedName>
    <definedName name="_AMO_UniqueIdentifier" hidden="1">"'8403d099-e876-4d31-b913-cb2efff0232f'"</definedName>
    <definedName name="_Fill" localSheetId="12" hidden="1">#REF!</definedName>
    <definedName name="_Fill" localSheetId="13" hidden="1">#REF!</definedName>
    <definedName name="_Fill" hidden="1">#REF!</definedName>
    <definedName name="_Key1" localSheetId="13" hidden="1">#REF!</definedName>
    <definedName name="_Key2" localSheetId="13" hidden="1">#REF!</definedName>
    <definedName name="_Order1" hidden="1">255</definedName>
    <definedName name="_Order2" hidden="1">255</definedName>
    <definedName name="_Parse_Out" localSheetId="13" hidden="1">#REF!</definedName>
    <definedName name="_Regression_Out" hidden="1">#REF!</definedName>
    <definedName name="_Regression_X" hidden="1">#REF!</definedName>
    <definedName name="_Regression_Y" hidden="1">#REF!</definedName>
    <definedName name="_Sort" hidden="1">#REF!</definedName>
    <definedName name="_WSH7">#REF!</definedName>
    <definedName name="a" localSheetId="13" hidden="1">{"MATALL",#N/A,FALSE,"Sheet4";"matclass",#N/A,FALSE,"Sheet4"}</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count_List">#REF!</definedName>
    <definedName name="ACwvu.OP." hidden="1">#REF!</definedName>
    <definedName name="Alignment" hidden="1">"a1"</definedName>
    <definedName name="Alloc02" localSheetId="13">#REF!</definedName>
    <definedName name="Alloc03" localSheetId="13">#REF!</definedName>
    <definedName name="AllocTY" localSheetId="13">#REF!</definedName>
    <definedName name="anscount" hidden="1">1</definedName>
    <definedName name="Arkansas" localSheetId="13">#REF!</definedName>
    <definedName name="AS2DocOpenMode" hidden="1">"AS2DocumentEdit"</definedName>
    <definedName name="Balances" localSheetId="21">#REF!</definedName>
    <definedName name="Balances" localSheetId="12">#REF!</definedName>
    <definedName name="Balances" localSheetId="17">#REF!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lank" localSheetId="13" hidden="1">{"ARK_JURIS_FUEL",#N/A,FALSE,"Ark_Fuel&amp;Rev"}</definedName>
    <definedName name="can" hidden="1">{#N/A,#N/A,FALSE,"O&amp;M by processes";#N/A,#N/A,FALSE,"Elec Act vs Bud";#N/A,#N/A,FALSE,"G&amp;A";#N/A,#N/A,FALSE,"BGS";#N/A,#N/A,FALSE,"Res Cost"}</definedName>
    <definedName name="CapAlloc" localSheetId="13">#REF!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21">#REF!</definedName>
    <definedName name="CH_COS" localSheetId="1">#REF!</definedName>
    <definedName name="CH_COS" localSheetId="12">#REF!</definedName>
    <definedName name="CH_COS" localSheetId="13">#REF!</definedName>
    <definedName name="CH_COS" localSheetId="17">#REF!</definedName>
    <definedName name="CH_COS">#REF!</definedName>
    <definedName name="ClientMatter" hidden="1">"b1"</definedName>
    <definedName name="CoCode0100" localSheetId="13">#REF!</definedName>
    <definedName name="CoCode0200" localSheetId="13">#REF!</definedName>
    <definedName name="CoCode0400" localSheetId="13">#REF!</definedName>
    <definedName name="CoCode0500">#REF!</definedName>
    <definedName name="Columns" localSheetId="21">#REF!</definedName>
    <definedName name="Columns" localSheetId="12">#REF!</definedName>
    <definedName name="Columns" localSheetId="17">#REF!</definedName>
    <definedName name="Columns">#REF!</definedName>
    <definedName name="company_id_valid_values">#REF!</definedName>
    <definedName name="CONOCO_FA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p_by_group" localSheetId="13">#REF!</definedName>
    <definedName name="cp_by_serv_level" localSheetId="13">#REF!</definedName>
    <definedName name="cp_input_area" localSheetId="13">#REF!</definedName>
    <definedName name="Current_sum" localSheetId="21">#REF!</definedName>
    <definedName name="Current_sum" localSheetId="17">#REF!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#REF!</definedName>
    <definedName name="Date" hidden="1">"b1"</definedName>
    <definedName name="DefaultCopy" localSheetId="21">#REF!</definedName>
    <definedName name="DefaultCopy" localSheetId="2">#REF!</definedName>
    <definedName name="DefaultCopy" localSheetId="13">#REF!</definedName>
    <definedName name="DefaultCopy" localSheetId="17">#REF!</definedName>
    <definedName name="DefaultCopy">#REF!</definedName>
    <definedName name="DefaultPaste" localSheetId="21">#REF!</definedName>
    <definedName name="DefaultPaste" localSheetId="13">#REF!</definedName>
    <definedName name="DefaultPaste" localSheetId="17">#REF!</definedName>
    <definedName name="DefaultPaste">#REF!</definedName>
    <definedName name="delete" hidden="1">{#N/A,#N/A,FALSE,"CURRENT"}</definedName>
    <definedName name="depr_group_id_valid_values" localSheetId="13">#REF!</definedName>
    <definedName name="detail" localSheetId="21">#REF!</definedName>
    <definedName name="detail" localSheetId="13">#REF!</definedName>
    <definedName name="detail" localSheetId="17">#REF!</definedName>
    <definedName name="detail">#REF!</definedName>
    <definedName name="DocumentName" hidden="1">"b1"</definedName>
    <definedName name="DocumentNum" hidden="1">"a1"</definedName>
    <definedName name="dsfds" localSheetId="13" hidden="1">#REF!</definedName>
    <definedName name="eeee" hidden="1">{#N/A,#N/A,FALSE,"O&amp;M by processes";#N/A,#N/A,FALSE,"Elec Act vs Bud";#N/A,#N/A,FALSE,"G&amp;A";#N/A,#N/A,FALSE,"BGS";#N/A,#N/A,FALSE,"Res Cost"}</definedName>
    <definedName name="er" localSheetId="13" hidden="1">{TRUE,TRUE,-1.25,-15.5,484.5,279.75,FALSE,FALSE,TRUE,TRUE,0,3,#N/A,1,#N/A,6.54545454545454,15.55,1,FALSE,FALSE,3,TRUE,1,FALSE,100,"Swvu.WP1.","ACwvu.WP1.",1,FALSE,FALSE,0.25,0.25,0.25,0.25,1,"","&amp;L&amp;D &amp;T NBW&amp;C&amp;P&amp;R&amp;F",FALSE,FALSE,FALSE,FALSE,1,100,#N/A,#N/A,FALSE,FALSE,#N/A,#N/A,FALSE,FALSE}</definedName>
    <definedName name="error">#REF!</definedName>
    <definedName name="EV__LASTREFTIME__" hidden="1">39826.8319444444</definedName>
    <definedName name="FED" localSheetId="13">#REF!</definedName>
    <definedName name="g" localSheetId="13">#REF!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haha" localSheetId="13" hidden="1">{"OMPA_FAC",#N/A,FALSE,"OMPA FAC"}</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42691.5412615741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c" localSheetId="21">#REF!</definedName>
    <definedName name="itc" localSheetId="17">#REF!</definedName>
    <definedName name="itc">#REF!</definedName>
    <definedName name="kk" localSheetId="21">#REF!</definedName>
    <definedName name="kk" localSheetId="17">#REF!</definedName>
    <definedName name="kk">#REF!</definedName>
    <definedName name="Library" hidden="1">"a1"</definedName>
    <definedName name="limcount" hidden="1">1</definedName>
    <definedName name="MED" localSheetId="13">#REF!</definedName>
    <definedName name="MEDICARE" localSheetId="13">#REF!</definedName>
    <definedName name="Mgmt" localSheetId="21">#REF!</definedName>
    <definedName name="Mgmt" localSheetId="2">#REF!</definedName>
    <definedName name="Mgmt" localSheetId="13">#REF!</definedName>
    <definedName name="Mgmt" localSheetId="17">#REF!</definedName>
    <definedName name="Mgmt">#REF!</definedName>
    <definedName name="million">1000000</definedName>
    <definedName name="MonthlyAdj" localSheetId="13">#REF!</definedName>
    <definedName name="MonthlyDetail" localSheetId="13">#REF!</definedName>
    <definedName name="months">#REF!</definedName>
    <definedName name="new" localSheetId="21">#REF!</definedName>
    <definedName name="new" localSheetId="2">#REF!</definedName>
    <definedName name="new" localSheetId="13">#REF!</definedName>
    <definedName name="new" localSheetId="17">#REF!</definedName>
    <definedName name="new">#REF!</definedName>
    <definedName name="NSP_COS" localSheetId="21">#REF!</definedName>
    <definedName name="NSP_COS" localSheetId="1">#REF!</definedName>
    <definedName name="NSP_COS" localSheetId="13">#REF!</definedName>
    <definedName name="NSP_COS" localSheetId="17">#REF!</definedName>
    <definedName name="NSP_COS">#REF!</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OASDI">#REF!</definedName>
    <definedName name="OCT">#REF!</definedName>
    <definedName name="Oklahoma">#REF!</definedName>
    <definedName name="one">1</definedName>
    <definedName name="Percent" localSheetId="13">#REF!</definedName>
    <definedName name="plus_pmts" localSheetId="13">#REF!</definedName>
    <definedName name="print" localSheetId="13">#REF!</definedName>
    <definedName name="print_all">#REF!</definedName>
    <definedName name="print_all_D_1">#REF!</definedName>
    <definedName name="_xlnm.Print_Area" localSheetId="18">'10-Dep Rates'!$A$1:$C$40</definedName>
    <definedName name="_xlnm.Print_Area" localSheetId="22">'11a-Wholesale Distribution '!$A$1:$O$210</definedName>
    <definedName name="_xlnm.Print_Area" localSheetId="21">'11-Wholesale Distribution'!$A$1:$M$99</definedName>
    <definedName name="_xlnm.Print_Area" localSheetId="23">'12 Wholesale Dist True-Up'!$A$1:$N$62</definedName>
    <definedName name="_xlnm.Print_Area" localSheetId="1">'1-Project Rev Req'!$A$1:$S$108</definedName>
    <definedName name="_xlnm.Print_Area" localSheetId="2">'2-Incentive ROE'!$A$1:$K$46</definedName>
    <definedName name="_xlnm.Print_Area" localSheetId="4">'4- Rate Base'!$A$1:$J$72</definedName>
    <definedName name="_xlnm.Print_Area" localSheetId="12">'4g - Exc-Def ADIT Worksheet'!$A$1:$AO$47</definedName>
    <definedName name="_xlnm.Print_Area" localSheetId="5">'5-P3 Support'!$A$1:$M$94</definedName>
    <definedName name="_xlnm.Print_Area" localSheetId="14">'6-True-Up Interest'!$A$1:$Q$55</definedName>
    <definedName name="_xlnm.Print_Area" localSheetId="15">'7 - PBOP'!$A$1:$I$21</definedName>
    <definedName name="_xlnm.Print_Area" localSheetId="16">'8-Construction Loan'!$A$1:$J$104</definedName>
    <definedName name="_xlnm.Print_Area" localSheetId="0">'Attachment H'!$A$1:$K$271</definedName>
    <definedName name="PRINT_AREA_MI" localSheetId="13">#REF!</definedName>
    <definedName name="print_sch" localSheetId="13">#REF!</definedName>
    <definedName name="Print1" localSheetId="21">#REF!</definedName>
    <definedName name="Print1" localSheetId="1">#REF!</definedName>
    <definedName name="Print1" localSheetId="2">#REF!</definedName>
    <definedName name="Print1" localSheetId="12">#REF!</definedName>
    <definedName name="Print1" localSheetId="13">#REF!</definedName>
    <definedName name="Print1" localSheetId="17">#REF!</definedName>
    <definedName name="Print1">#REF!</definedName>
    <definedName name="Print3" localSheetId="21">#REF!</definedName>
    <definedName name="Print3" localSheetId="1">#REF!</definedName>
    <definedName name="Print3" localSheetId="12">#REF!</definedName>
    <definedName name="Print3" localSheetId="17">#REF!</definedName>
    <definedName name="Print3">#REF!</definedName>
    <definedName name="Print4" localSheetId="21">#REF!</definedName>
    <definedName name="Print4" localSheetId="1">#REF!</definedName>
    <definedName name="Print4" localSheetId="12">#REF!</definedName>
    <definedName name="Print4" localSheetId="17">#REF!</definedName>
    <definedName name="Print4">#REF!</definedName>
    <definedName name="Print5" localSheetId="21">#REF!</definedName>
    <definedName name="Print5" localSheetId="17">#REF!</definedName>
    <definedName name="Print5">#REF!</definedName>
    <definedName name="ProjIDList" localSheetId="21">#REF!</definedName>
    <definedName name="ProjIDList" localSheetId="17">#REF!</definedName>
    <definedName name="ProjIDList">#REF!</definedName>
    <definedName name="PropertyGroupName">#REF!</definedName>
    <definedName name="PropertyUnitName">#REF!</definedName>
    <definedName name="PSCo_COS" localSheetId="21">#REF!</definedName>
    <definedName name="PSCo_COS" localSheetId="12">#REF!</definedName>
    <definedName name="PSCo_COS" localSheetId="13">#REF!</definedName>
    <definedName name="PSCo_COS" localSheetId="17">#REF!</definedName>
    <definedName name="PSCo_COS">#REF!</definedName>
    <definedName name="py_cent" localSheetId="13">#REF!</definedName>
    <definedName name="py_clint">#REF!</definedName>
    <definedName name="py_eec">#REF!</definedName>
    <definedName name="py_ei">#REF!</definedName>
    <definedName name="py_engl">#REF!</definedName>
    <definedName name="py_epc">#REF!</definedName>
    <definedName name="py_esc">#REF!</definedName>
    <definedName name="q" localSheetId="13" hidden="1">{"MATALL",#N/A,FALSE,"Sheet4";"matclass",#N/A,FALSE,"Sheet4"}</definedName>
    <definedName name="q_MTEP06_App_AB_Facility" localSheetId="21">#REF!</definedName>
    <definedName name="q_MTEP06_App_AB_Facility" localSheetId="12">#REF!</definedName>
    <definedName name="q_MTEP06_App_AB_Facility" localSheetId="17">#REF!</definedName>
    <definedName name="q_MTEP06_App_AB_Facility">#REF!</definedName>
    <definedName name="q_MTEP06_App_AB_Projects" localSheetId="21">#REF!</definedName>
    <definedName name="q_MTEP06_App_AB_Projects" localSheetId="12">#REF!</definedName>
    <definedName name="q_MTEP06_App_AB_Projects" localSheetId="17">#REF!</definedName>
    <definedName name="q_MTEP06_App_AB_Projects">#REF!</definedName>
    <definedName name="revreq" localSheetId="21">#REF!</definedName>
    <definedName name="revreq" localSheetId="12">#REF!</definedName>
    <definedName name="revreq" localSheetId="17">#REF!</definedName>
    <definedName name="revreq">#REF!</definedName>
    <definedName name="rrrr" hidden="1">{#N/A,#N/A,FALSE,"O&amp;M by processes";#N/A,#N/A,FALSE,"Elec Act vs Bud";#N/A,#N/A,FALSE,"G&amp;A";#N/A,#N/A,FALSE,"BGS";#N/A,#N/A,FALSE,"Res Cost"}</definedName>
    <definedName name="set_of_books_id_valid_values" localSheetId="13">#REF!</definedName>
    <definedName name="shiva" hidden="1">{#N/A,#N/A,FALSE,"O&amp;M by processes";#N/A,#N/A,FALSE,"Elec Act vs Bud";#N/A,#N/A,FALSE,"G&amp;A";#N/A,#N/A,FALSE,"BGS";#N/A,#N/A,FALSE,"Res Cost"}</definedName>
    <definedName name="simoutaneous" localSheetId="13">#REF!</definedName>
    <definedName name="solver_adj" localSheetId="16" hidden="1">'8-Construction Loan'!$D$50</definedName>
    <definedName name="solver_cvg" localSheetId="16" hidden="1">0.0001</definedName>
    <definedName name="solver_drv" localSheetId="16" hidden="1">1</definedName>
    <definedName name="solver_eng" localSheetId="16" hidden="1">1</definedName>
    <definedName name="solver_est" localSheetId="16" hidden="1">1</definedName>
    <definedName name="solver_itr" localSheetId="16" hidden="1">2147483647</definedName>
    <definedName name="solver_mip" localSheetId="16" hidden="1">2147483647</definedName>
    <definedName name="solver_mni" localSheetId="16" hidden="1">30</definedName>
    <definedName name="solver_mrt" localSheetId="16" hidden="1">0.075</definedName>
    <definedName name="solver_msl" localSheetId="16" hidden="1">2</definedName>
    <definedName name="solver_neg" localSheetId="16" hidden="1">1</definedName>
    <definedName name="solver_nod" localSheetId="16" hidden="1">2147483647</definedName>
    <definedName name="solver_num" localSheetId="16" hidden="1">0</definedName>
    <definedName name="solver_nwt" localSheetId="16" hidden="1">1</definedName>
    <definedName name="solver_opt" localSheetId="16" hidden="1">'8-Construction Loan'!$F$12</definedName>
    <definedName name="solver_pre" localSheetId="16" hidden="1">0.000001</definedName>
    <definedName name="solver_rbv" localSheetId="16" hidden="1">1</definedName>
    <definedName name="solver_rlx" localSheetId="16" hidden="1">2</definedName>
    <definedName name="solver_rsd" localSheetId="16" hidden="1">0</definedName>
    <definedName name="solver_scl" localSheetId="16" hidden="1">1</definedName>
    <definedName name="solver_sho" localSheetId="16" hidden="1">2</definedName>
    <definedName name="solver_ssz" localSheetId="16" hidden="1">100</definedName>
    <definedName name="solver_tim" localSheetId="16" hidden="1">2147483647</definedName>
    <definedName name="solver_tol" localSheetId="16" hidden="1">0.01</definedName>
    <definedName name="solver_typ" localSheetId="16" hidden="1">3</definedName>
    <definedName name="solver_val" localSheetId="16" hidden="1">200000000</definedName>
    <definedName name="solver_ver" localSheetId="16" hidden="1">3</definedName>
    <definedName name="SPS_COS" localSheetId="21">#REF!</definedName>
    <definedName name="SPS_COS" localSheetId="2">#REF!</definedName>
    <definedName name="SPS_COS" localSheetId="13">#REF!</definedName>
    <definedName name="SPS_COS" localSheetId="17">#REF!</definedName>
    <definedName name="SPS_COS">#REF!</definedName>
    <definedName name="ssss" localSheetId="13" hidden="1">{TRUE,TRUE,-1.25,-15.5,484.5,279.75,FALSE,FALSE,TRUE,TRUE,0,3,#N/A,1,#N/A,6.54545454545454,15.55,1,FALSE,FALSE,3,TRUE,1,FALSE,100,"Swvu.WP1.","ACwvu.WP1.",1,FALSE,FALSE,0.25,0.25,0.25,0.25,1,"","&amp;L&amp;D &amp;T NBW&amp;C&amp;P&amp;R&amp;F",FALSE,FALSE,FALSE,FALSE,1,100,#N/A,#N/A,FALSE,FALSE,#N/A,#N/A,FALSE,FALSE}</definedName>
    <definedName name="STATE">#REF!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vu.OP." localSheetId="13" hidden="1">#REF!</definedName>
    <definedName name="Target_List">#REF!</definedName>
    <definedName name="taxcalc" localSheetId="21">#REF!</definedName>
    <definedName name="taxcalc" localSheetId="17">#REF!</definedName>
    <definedName name="taxcalc">#REF!</definedName>
    <definedName name="TEST" localSheetId="13" hidden="1">{TRUE,TRUE,-1.25,-15.5,484.5,279.75,FALSE,FALSE,TRUE,TRUE,0,3,#N/A,1,#N/A,6.54545454545454,15.55,1,FALSE,FALSE,3,TRUE,1,FALSE,100,"Swvu.WP1.","ACwvu.WP1.",1,FALSE,FALSE,0.25,0.25,0.25,0.25,1,"","&amp;L&amp;D &amp;T NBW&amp;C&amp;P&amp;R&amp;F",FALSE,FALSE,FALSE,FALSE,1,100,#N/A,#N/A,FALSE,FALSE,#N/A,#N/A,FALSE,FALSE}</definedName>
    <definedName name="thousand">1000</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21">#REF!</definedName>
    <definedName name="Tota_Deferred" localSheetId="12">#REF!</definedName>
    <definedName name="Tota_Deferred" localSheetId="13">#REF!</definedName>
    <definedName name="Tota_Deferred" localSheetId="17">#REF!</definedName>
    <definedName name="Tota_Deferred">#REF!</definedName>
    <definedName name="Total" localSheetId="13">#REF!</definedName>
    <definedName name="Typist" hidden="1">"b1"</definedName>
    <definedName name="Version" hidden="1">"a1"</definedName>
    <definedName name="w" localSheetId="13" hidden="1">{"MATALL",#N/A,FALSE,"Sheet4";"matclass",#N/A,FALSE,"Sheet4"}</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RKCAPa" localSheetId="13" hidden="1">{"WCCWCLL",#N/A,FALSE,"Sheet3";"PP",#N/A,FALSE,"Sheet3";"MAT1",#N/A,FALSE,"Sheet3";"MAT2",#N/A,FALSE,"Sheet3"}</definedName>
    <definedName name="wrn" hidden="1">{#N/A,#N/A,FALSE,"O&amp;M by processes";#N/A,#N/A,FALSE,"Elec Act vs Bud";#N/A,#N/A,FALSE,"G&amp;A";#N/A,#N/A,FALSE,"BGS";#N/A,#N/A,FALSE,"Res Cost"}</definedName>
    <definedName name="wrn.2006._.Rate._.Case." localSheetId="13" hidden="1">{"DAB-1, Sch 21, Pg 1",#N/A,FALSE,"ELEC ENERGY";"DAB-1, Sch 21, Pg 2",#N/A,FALSE,"RTPDenverWater";"DAB-1, Sch 21, Pg 3",#N/A,FALSE,"INCREMENTAL - WHOLESALE"}</definedName>
    <definedName name="wrn.722." hidden="1">{#N/A,#N/A,FALSE,"CURRENT"}</definedName>
    <definedName name="wrn.AGT." hidden="1">{"AGT",#N/A,FALSE,"Revenue"}</definedName>
    <definedName name="wrn.ARK._.JURIS._.FAC._.CALC." localSheetId="13" hidden="1">{"ARK_JURIS_FAC",#N/A,FALSE,"Ark_Fuel&amp;Rev"}</definedName>
    <definedName name="wrn.ARK._.JURIS._.FUEL._.COST." localSheetId="13" hidden="1">{"ARK_JURIS_FUEL",#N/A,FALSE,"Ark_Fuel&amp;Rev"}</definedName>
    <definedName name="wrn.ATOKA._.FAC._.CALC." localSheetId="13" hidden="1">{"ATOKA_FAC",#N/A,FALSE,"Atoka"}</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ONOCO._.FAC." localSheetId="13" hidden="1">{"CONOCO_FAC",#N/A,FALSE,"Conoco FAC"}</definedName>
    <definedName name="wrn.cwip." localSheetId="13" hidden="1">{"CWIP2",#N/A,FALSE,"CWIP";"CWIP3",#N/A,FALSE,"CWIP"}</definedName>
    <definedName name="wrn.cwipa" localSheetId="13" hidden="1">{"CWIP2",#N/A,FALSE,"CWIP";"CWIP3",#N/A,FALSE,"CWIP"}</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ings._.Test." localSheetId="13"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T._.Schedules." localSheetId="13" hidden="1">{"ET Schedule 7",#N/A,FALSE,"Plant Adjustments";"ET Schedule 9",#N/A,FALSE,"SterlingStip";"ET Schedule 10",#N/A,FALSE,"Plant Adjustments";"ET Schedule 13",#N/A,FALSE,"Plant Adjustments";"ET Schedule 16",#N/A,FALSE,"DeferredTaxes"}</definedName>
    <definedName name="wrn.FAC._.SUMMARY." localSheetId="13" hidden="1">{"FAC_SUMMARY",#N/A,FALSE,"Summaries"}</definedName>
    <definedName name="wrn.FERC._.FAC._.CALC." localSheetId="13" hidden="1">{"FERC_FAC",#N/A,FALSE,"FERC_Fuel&amp;Rev"}</definedName>
    <definedName name="wrn.FERC._.WEATHER._.and._.JURIS._.FUEL." localSheetId="13" hidden="1">{"FERC_WEATHER_AND_FUEL",#N/A,FALSE,"FERC_Fuel&amp;Rev"}</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full._.print." localSheetId="13"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go." localSheetId="13" hidden="1">{"wp_h4.2",#N/A,FALSE,"WP_H4.2";"wp_h4.3",#N/A,FALSE,"WP_H4.3"}</definedName>
    <definedName name="wrn.HLP._.Detail." hidden="1">{"2002 - 2006 Detail Income Statement",#N/A,FALSE,"TUB Income Statement wo DW";"BGS Deferral",#N/A,FALSE,"BGS Deferral";"NNC Deferral",#N/A,FALSE,"NNC Deferral";"MTC Deferral",#N/A,FALSE,"MTC Deferral";#N/A,#N/A,FALSE,"Schedule D"}</definedName>
    <definedName name="wrn.matdtl." localSheetId="13" hidden="1">{"MATALL",#N/A,FALSE,"Sheet4";"matclass",#N/A,FALSE,"Sheet4"}</definedName>
    <definedName name="wrn.matdtla" localSheetId="13" hidden="1">{"MATALL",#N/A,FALSE,"Sheet4";"matclass",#N/A,FALSE,"Sheet4"}</definedName>
    <definedName name="wrn.MFR." localSheetId="13"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13" hidden="1">{"OK_FUEL_COMPARISON",#N/A,FALSE,"Ok_Fuel&amp;Rev"}</definedName>
    <definedName name="wrn.OK._.JURIS._.FAC._.CALCULATION." localSheetId="13" hidden="1">{"OK_JURIS_FAC",#N/A,FALSE,"Ok_Fuel&amp;Rev"}</definedName>
    <definedName name="wrn.OK._.JURIS._.FUEL._.COST." localSheetId="13" hidden="1">{"OK_JURIS_FUEL",#N/A,FALSE,"Ok_Fuel&amp;Rev"}</definedName>
    <definedName name="wrn.OKLA._.PRO._.FORMA._.FUEL." localSheetId="13" hidden="1">{"OK_PRO_FORMA_FUEL",#N/A,FALSE,"Ok_Fuel&amp;Rev"}</definedName>
    <definedName name="wrn.OMPA._.FAC." localSheetId="13" hidden="1">{"OMPA_FAC",#N/A,FALSE,"OMPA FAC"}</definedName>
    <definedName name="wrn.OTHER._.DATA." localSheetId="13" hidden="1">{"OTHER_DATA",#N/A,FALSE,"Ok_Fuel&amp;Rev"}</definedName>
    <definedName name="wrn.PPJOURNAL._.ENTRY." localSheetId="13" hidden="1">{"PPDEFERREDBAL",#N/A,FALSE,"PRIOR PERIOD ADJMT";#N/A,#N/A,FALSE,"PRIOR PERIOD ADJMT";"PPJOURNALENTRY",#N/A,FALSE,"PRIOR PERIOD ADJMT"}</definedName>
    <definedName name="wrn.PRINT." localSheetId="13"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OR._.PERIOD._.ADJMT." localSheetId="13" hidden="1">{#N/A,#N/A,FALSE,"PRIOR PERIOD ADJMT"}</definedName>
    <definedName name="wrn.Production." localSheetId="13" hidden="1">{"Production",#N/A,FALSE,"Electric O&amp;M Functionalization"}</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PA._.FAC." localSheetId="13" hidden="1">{"SPA_FAC",#N/A,FALSE,"OMPA SPA FAC"}</definedName>
    <definedName name="wrn.SUP." localSheetId="13"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13"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orting._.Calculations." hidden="1">{#N/A,#N/A,FALSE,"Work performed";#N/A,#N/A,FALSE,"Resources"}</definedName>
    <definedName name="wrn.Tax._.Accrual." hidden="1">{#N/A,#N/A,TRUE,"TAXPROV";#N/A,#N/A,TRUE,"FLOWTHRU";#N/A,#N/A,TRUE,"SCHEDULE M'S";#N/A,#N/A,TRUE,"PLANT M'S";#N/A,#N/A,TRUE,"TAXJE"}</definedName>
    <definedName name="wrn.Transmission." localSheetId="13" hidden="1">{"Transmission",#N/A,FALSE,"Electric O&amp;M Functionalization"}</definedName>
    <definedName name="wrn.WEATHER._.AND._.YR._.END._.CUST._.ADJ." localSheetId="13" hidden="1">{"WEATHER_CUSTOMERS",#N/A,FALSE,"Ok_Fuel&amp;Rev"}</definedName>
    <definedName name="wrn.WORKCAP." localSheetId="13" hidden="1">{"WCCWCLL",#N/A,FALSE,"Sheet3";"PP",#N/A,FALSE,"Sheet3";"MAT1",#N/A,FALSE,"Sheet3";"MAT2",#N/A,FALSE,"Sheet3"}</definedName>
    <definedName name="wvu.DATABASE." localSheetId="13"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13"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13" hidden="1">{TRUE,TRUE,-1.25,-15.5,484.5,279.75,FALSE,FALSE,TRUE,TRUE,0,3,#N/A,1,#N/A,6.54545454545454,15.55,1,FALSE,FALSE,3,TRUE,1,FALSE,100,"Swvu.WP1.","ACwvu.WP1.",1,FALSE,FALSE,0.25,0.25,0.25,0.25,1,"","&amp;L&amp;D &amp;T NBW&amp;C&amp;P&amp;R&amp;F",FALSE,FALSE,FALSE,FALSE,1,100,#N/A,#N/A,FALSE,FALSE,#N/A,#N/A,FALSE,FALSE}</definedName>
    <definedName name="Xcel" localSheetId="21">#REF!</definedName>
    <definedName name="Xcel" localSheetId="1">#REF!</definedName>
    <definedName name="Xcel" localSheetId="12">#REF!</definedName>
    <definedName name="Xcel" localSheetId="17">#REF!</definedName>
    <definedName name="Xcel">#REF!</definedName>
    <definedName name="Xcel_COS" localSheetId="21">#REF!</definedName>
    <definedName name="Xcel_COS" localSheetId="1">#REF!</definedName>
    <definedName name="Xcel_COS" localSheetId="2">#REF!</definedName>
    <definedName name="Xcel_COS" localSheetId="12">#REF!</definedName>
    <definedName name="Xcel_COS" localSheetId="13">#REF!</definedName>
    <definedName name="Xcel_COS" localSheetId="17">#REF!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F04A2B9A_C6FE_4FEB_AD1E_2CF9AC309BE4_.wvu.PrintArea" localSheetId="21" hidden="1">'11-Wholesale Distribution'!$A$1:$Q$100</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6" hidden="1">'8-Construction Loan'!$A$2:$J$85</definedName>
    <definedName name="Z_F04A2B9A_C6FE_4FEB_AD1E_2CF9AC309BE4_.wvu.PrintArea" localSheetId="0" hidden="1">'Attachment H'!$A$1:$K$265</definedName>
    <definedName name="zero">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6" i="4" l="1"/>
</calcChain>
</file>

<file path=xl/sharedStrings.xml><?xml version="1.0" encoding="utf-8"?>
<sst xmlns="http://schemas.openxmlformats.org/spreadsheetml/2006/main" count="3393" uniqueCount="1323">
  <si>
    <t>Page 3 of 6</t>
  </si>
  <si>
    <t>Line No.</t>
  </si>
  <si>
    <t>Wholesale Distribution Service</t>
  </si>
  <si>
    <t xml:space="preserve">Project Gross Plant </t>
  </si>
  <si>
    <t>Annual Allocation Factor for Expense, Page 6 line 18</t>
  </si>
  <si>
    <t>Annual Expense Charge</t>
  </si>
  <si>
    <t xml:space="preserve">Project Net Plant </t>
  </si>
  <si>
    <t>Annual Allocation Factor for Return, Page 6 line 19</t>
  </si>
  <si>
    <t>Annual Return Charge</t>
  </si>
  <si>
    <t>Project Depreciation/Amortization Expense</t>
  </si>
  <si>
    <t>Annual Revenue Requirement (Col.  4, 7 &amp; 8)</t>
  </si>
  <si>
    <t>Use % (Note A)</t>
  </si>
  <si>
    <t>Total Annual Revenue Requirement  (Col. 9 *10)</t>
  </si>
  <si>
    <t>a</t>
  </si>
  <si>
    <t>Tri-County Electric Cooperative</t>
  </si>
  <si>
    <t>b</t>
  </si>
  <si>
    <t>c</t>
  </si>
  <si>
    <t>d</t>
  </si>
  <si>
    <t>…</t>
  </si>
  <si>
    <t>z</t>
  </si>
  <si>
    <t>Total</t>
  </si>
  <si>
    <t>Annual True-up Adjustment (Attachment 12, Line 4 Total)</t>
  </si>
  <si>
    <t>Total Revenue Requirement</t>
  </si>
  <si>
    <t>Note A    The Use % is the customers NCP load divided by all of the NCP loads on the facilities</t>
  </si>
  <si>
    <t>Attachment 11</t>
  </si>
  <si>
    <t>Page 4 of 6</t>
  </si>
  <si>
    <t>GridLiance High Plains</t>
  </si>
  <si>
    <t>(1)</t>
  </si>
  <si>
    <t>(2)</t>
  </si>
  <si>
    <t>(3)</t>
  </si>
  <si>
    <t xml:space="preserve"> </t>
  </si>
  <si>
    <t>(4)</t>
  </si>
  <si>
    <t>(5)</t>
  </si>
  <si>
    <t xml:space="preserve">                  Allocator</t>
  </si>
  <si>
    <t>Distribution</t>
  </si>
  <si>
    <t>Line</t>
  </si>
  <si>
    <t>Source</t>
  </si>
  <si>
    <t>Company Total</t>
  </si>
  <si>
    <t>The allocators are shown on</t>
  </si>
  <si>
    <t>(Col 3 times Col 4)</t>
  </si>
  <si>
    <t>No.</t>
  </si>
  <si>
    <t xml:space="preserve">RATE BASE: </t>
  </si>
  <si>
    <t xml:space="preserve"> Pages 4 and 6     (DA equals 1)</t>
  </si>
  <si>
    <t xml:space="preserve">GROSS PLANT IN SERVICE  </t>
  </si>
  <si>
    <t xml:space="preserve">  Production </t>
  </si>
  <si>
    <t>NA</t>
  </si>
  <si>
    <t xml:space="preserve">  Transmission</t>
  </si>
  <si>
    <t xml:space="preserve">  Distribution </t>
  </si>
  <si>
    <t>(Page 6, Line 33, Col. (b)</t>
  </si>
  <si>
    <t>DA</t>
  </si>
  <si>
    <t xml:space="preserve">  General &amp; Intangible</t>
  </si>
  <si>
    <t>W/S</t>
  </si>
  <si>
    <t xml:space="preserve">  Common </t>
  </si>
  <si>
    <t>CE</t>
  </si>
  <si>
    <t>TOTAL GROSS PLANT</t>
  </si>
  <si>
    <t>(Sum of Lines 1 through 5)</t>
  </si>
  <si>
    <t>GP=</t>
  </si>
  <si>
    <t xml:space="preserve">ACCUMULATED DEPRECIATION </t>
  </si>
  <si>
    <t>(Page 6, Line 33, Col. (c)</t>
  </si>
  <si>
    <t xml:space="preserve">TOTAL ACCUM. DEPRECIATION </t>
  </si>
  <si>
    <t>(Sum of Lines 8 through 12)</t>
  </si>
  <si>
    <t>NET PLANT IN SERVICE</t>
  </si>
  <si>
    <t>(Line 2 minus Line 9)</t>
  </si>
  <si>
    <t>(Line 4 minus Line 11)</t>
  </si>
  <si>
    <t>TOTAL NET PLANT</t>
  </si>
  <si>
    <t>(Sum of Lines 15 through 19)</t>
  </si>
  <si>
    <t>NP=</t>
  </si>
  <si>
    <t xml:space="preserve">ADJUSTMENTS TO RATE BASE  </t>
  </si>
  <si>
    <t xml:space="preserve">  Account No. 281 (enter negative)</t>
  </si>
  <si>
    <t>zero</t>
  </si>
  <si>
    <t xml:space="preserve">  Account No. 282 (enter negative)</t>
  </si>
  <si>
    <t xml:space="preserve">  Account No. 283 (enter negative)</t>
  </si>
  <si>
    <t xml:space="preserve">  Account No. 190 </t>
  </si>
  <si>
    <t xml:space="preserve">  Account No. 255 (enter negative)</t>
  </si>
  <si>
    <t>NP</t>
  </si>
  <si>
    <t>26a</t>
  </si>
  <si>
    <t xml:space="preserve">  Unfunded Reserves (enter negative)</t>
  </si>
  <si>
    <t>(Page 6, Line 36, Col. (h)</t>
  </si>
  <si>
    <t xml:space="preserve">  CWIP</t>
  </si>
  <si>
    <t xml:space="preserve">  Unamortized Regulatory Asset </t>
  </si>
  <si>
    <t xml:space="preserve">  Unamortized Abandoned Plant  </t>
  </si>
  <si>
    <t xml:space="preserve">TOTAL ADJUSTMENTS </t>
  </si>
  <si>
    <t>(Sum of Lines 22 through 29)</t>
  </si>
  <si>
    <t xml:space="preserve">DISTRIBUTION LAND HELD FOR FUTURE USE  </t>
  </si>
  <si>
    <t>(Page 6, Line 33, Col. (d)</t>
  </si>
  <si>
    <t xml:space="preserve">WORKING CAPITAL </t>
  </si>
  <si>
    <t xml:space="preserve">  CWC </t>
  </si>
  <si>
    <t>1/8*(Page 5, Line 8)</t>
  </si>
  <si>
    <t xml:space="preserve">  Distribution Materials &amp; Supplies</t>
  </si>
  <si>
    <t>(Page 6, Line 33, Col. (e)</t>
  </si>
  <si>
    <t xml:space="preserve">  Prepayments (Account 165)</t>
  </si>
  <si>
    <t>GP</t>
  </si>
  <si>
    <t xml:space="preserve">TOTAL WORKING CAPITAL  </t>
  </si>
  <si>
    <t>(Sum of Lines 33 through 35)</t>
  </si>
  <si>
    <t xml:space="preserve">RATE BASE </t>
  </si>
  <si>
    <t>(Sum of Lines 20, 30, 31 &amp; 36)</t>
  </si>
  <si>
    <t>Page 5 of 6</t>
  </si>
  <si>
    <t xml:space="preserve">Formula Rate - Non-Levelized </t>
  </si>
  <si>
    <t>O&amp;M</t>
  </si>
  <si>
    <t xml:space="preserve">  Distribution</t>
  </si>
  <si>
    <t>322.156.b</t>
  </si>
  <si>
    <t xml:space="preserve">  A&amp;G</t>
  </si>
  <si>
    <t xml:space="preserve">     Less FERC Annual Fees</t>
  </si>
  <si>
    <t xml:space="preserve">     Less EPRI &amp; Reg. Comm. Exp. &amp; Non-safety Ad.  </t>
  </si>
  <si>
    <t xml:space="preserve">     Less PBOP Expense in Year</t>
  </si>
  <si>
    <t xml:space="preserve">     Plus PBOP Expense Allowed Amount</t>
  </si>
  <si>
    <t>TOTAL O&amp;M</t>
  </si>
  <si>
    <t>(Sum of Lines 1, 2, 6, 7, less Lines 3, 4, 5)</t>
  </si>
  <si>
    <t xml:space="preserve">DEPRECIATION EXPENSE  </t>
  </si>
  <si>
    <t xml:space="preserve">336.8.b, d &amp;e </t>
  </si>
  <si>
    <t>DP</t>
  </si>
  <si>
    <t xml:space="preserve">TOTAL DEPRECIATION </t>
  </si>
  <si>
    <t>(Sum of Lines 10 through 12)</t>
  </si>
  <si>
    <t xml:space="preserve">TAXES OTHER THAN INCOME TAXES </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</si>
  <si>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</si>
  <si>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</si>
  <si>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</si>
  <si>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</si>
  <si>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</si>
  <si>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</si>
  <si>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</si>
  <si>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</si>
  <si>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</si>
  <si>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(Sum of Lines 16 through 22)</t>
  </si>
  <si>
    <t xml:space="preserve">INCOME TAXES          </t>
  </si>
  <si>
    <t xml:space="preserve">     T=SIT * (1-FIT) + FIT - (p*FIT)</t>
  </si>
  <si>
    <t>Amortized Investment Tax Credit</t>
  </si>
  <si>
    <t xml:space="preserve">(Excess)/Deficient Deferred Income Taxes </t>
  </si>
  <si>
    <t>Tax Effect of Permanent Differences</t>
  </si>
  <si>
    <t xml:space="preserve">Income Tax Calculation </t>
  </si>
  <si>
    <t xml:space="preserve">(Line 25/(1-Line 25) times (Page 6 Lines 15 + 16)* Page 2 Line 37) </t>
  </si>
  <si>
    <t xml:space="preserve">ITC adjustment </t>
  </si>
  <si>
    <t>(Line 29 times Line 30)</t>
  </si>
  <si>
    <t xml:space="preserve">(Excess)/Deficient Deferred Income Tax Adjustment </t>
  </si>
  <si>
    <t>(Line 29 times Line 31)</t>
  </si>
  <si>
    <t>Permanent Differences Tax Adjustment</t>
  </si>
  <si>
    <t>(Line 29 times Line 32)</t>
  </si>
  <si>
    <t xml:space="preserve">Total Income Taxes </t>
  </si>
  <si>
    <t>(Sum of Lines 33 through 36)</t>
  </si>
  <si>
    <t xml:space="preserve">RETURN </t>
  </si>
  <si>
    <t>Rate Base times Return</t>
  </si>
  <si>
    <t>(Page 4, Line 37 times Page 6, Line 17, Col. 5)</t>
  </si>
  <si>
    <t>REV. REQUIREMENT</t>
  </si>
  <si>
    <t>(Sum of Lines 8, 13, 23, 34 &amp; 36)</t>
  </si>
  <si>
    <t>Page 6 of 6</t>
  </si>
  <si>
    <t xml:space="preserve">                SUPPORTING CALCULATIONS AND NOTES</t>
  </si>
  <si>
    <t>WAGES &amp; SALARY ALLOCATOR  (W&amp;S)</t>
  </si>
  <si>
    <t>Form 1 Reference</t>
  </si>
  <si>
    <t>$</t>
  </si>
  <si>
    <t>Alloc</t>
  </si>
  <si>
    <t>Allocation</t>
  </si>
  <si>
    <t>W&amp;S Allocator</t>
  </si>
  <si>
    <t xml:space="preserve">  Other</t>
  </si>
  <si>
    <t>($ / Allocation)</t>
  </si>
  <si>
    <t xml:space="preserve"> Total  (W&amp; S Allocator is 1 if lines 7-10 are zero)</t>
  </si>
  <si>
    <t>(Sum of Lines 2 through 5)</t>
  </si>
  <si>
    <t>=</t>
  </si>
  <si>
    <t>WS</t>
  </si>
  <si>
    <t xml:space="preserve">COMMON PLANT ALLOCATOR  (CE)  </t>
  </si>
  <si>
    <t>% Electric</t>
  </si>
  <si>
    <t xml:space="preserve">  Electric </t>
  </si>
  <si>
    <t>(line 7 / line 10)</t>
  </si>
  <si>
    <t>(line 6)</t>
  </si>
  <si>
    <t xml:space="preserve">  Gas</t>
  </si>
  <si>
    <t>*</t>
  </si>
  <si>
    <t xml:space="preserve">  Water </t>
  </si>
  <si>
    <t xml:space="preserve">  Total</t>
  </si>
  <si>
    <t>(Sum of Lines 7 through 9)</t>
  </si>
  <si>
    <t>RETURN (R)</t>
  </si>
  <si>
    <t>%</t>
  </si>
  <si>
    <t>Cost</t>
  </si>
  <si>
    <t>Weighted</t>
  </si>
  <si>
    <t xml:space="preserve">  Long Term Debt </t>
  </si>
  <si>
    <t>=WCLTD</t>
  </si>
  <si>
    <t xml:space="preserve">  Preferred Stock  (112.3.c)</t>
  </si>
  <si>
    <t xml:space="preserve">  Common Stock</t>
  </si>
  <si>
    <t xml:space="preserve">Total </t>
  </si>
  <si>
    <t>(Sum of Lines 14 through 16)</t>
  </si>
  <si>
    <t>=R</t>
  </si>
  <si>
    <t>Amount</t>
  </si>
  <si>
    <t>Gross Plant</t>
  </si>
  <si>
    <t>Allocation Factor</t>
  </si>
  <si>
    <t>Page 5 lines 8 and 23, col 5</t>
  </si>
  <si>
    <t>Amount / Gross Plant</t>
  </si>
  <si>
    <t>Annual Allocation Factor for Expense</t>
  </si>
  <si>
    <t>Net Plant</t>
  </si>
  <si>
    <t>Page 5 lines 37 and 39, col 5</t>
  </si>
  <si>
    <t>Annual Allocation Factor for Return</t>
  </si>
  <si>
    <t>Accumulated</t>
  </si>
  <si>
    <t>Gross Plant In Service</t>
  </si>
  <si>
    <t>Depreciation</t>
  </si>
  <si>
    <t>LHFFU</t>
  </si>
  <si>
    <t>Working Capital</t>
  </si>
  <si>
    <t>Line No</t>
  </si>
  <si>
    <t>Month</t>
  </si>
  <si>
    <t>Held for Future Use</t>
  </si>
  <si>
    <t xml:space="preserve">  Materials &amp; Supplies</t>
  </si>
  <si>
    <t>(a)</t>
  </si>
  <si>
    <t>(b)</t>
  </si>
  <si>
    <t>(c)</t>
  </si>
  <si>
    <t>(d)</t>
  </si>
  <si>
    <t>(e)</t>
  </si>
  <si>
    <t>207.75.g for end of year, records for other months</t>
  </si>
  <si>
    <t>219.26.b for end of year, records for other months</t>
  </si>
  <si>
    <t>214.x.d for end of year, records for other months</t>
  </si>
  <si>
    <t>227.9.c for end of year, records for other months</t>
  </si>
  <si>
    <t>December Prior Year</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</si>
  <si>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</si>
  <si>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</si>
  <si>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</si>
  <si>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</si>
  <si>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</si>
  <si>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</si>
  <si>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</si>
  <si>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</si>
  <si>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</si>
  <si>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</si>
  <si>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</si>
  <si>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</si>
  <si>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</si>
  <si>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Unfunded Reserves    (Notes A &amp; B)</t>
  </si>
  <si>
    <t>(f)</t>
  </si>
  <si>
    <t>(g)</t>
  </si>
  <si>
    <t>(h)</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</si>
  <si>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</si>
  <si>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</si>
  <si>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</si>
  <si>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</si>
  <si>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</si>
  <si>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</si>
  <si>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35a</t>
  </si>
  <si>
    <t>Reserve 1</t>
  </si>
  <si>
    <t>35b</t>
  </si>
  <si>
    <t>Reserve 2</t>
  </si>
  <si>
    <t>35c</t>
  </si>
  <si>
    <t>Reserve 3</t>
  </si>
  <si>
    <t>A</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</si>
  <si>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</si>
  <si>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B</t>
  </si>
  <si>
    <t>Calculate using 13 month average balance, except ADIT which is calculated based on the average of the beginning of the year and the end of the year balances</t>
  </si>
  <si>
    <t>Page 1 of 1</t>
  </si>
  <si>
    <t>Attachment 12</t>
  </si>
  <si>
    <t>Wholesale Distribution Project True-Up</t>
  </si>
  <si>
    <t>GridLiance High Plains LLC</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</si>
  <si>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</si>
  <si>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</si>
  <si>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</si>
  <si>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</si>
  <si>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</si>
  <si>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</si>
  <si>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</si>
  <si>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C</t>
  </si>
  <si>
    <t>D</t>
  </si>
  <si>
    <t>E</t>
  </si>
  <si>
    <t>F</t>
  </si>
  <si>
    <t>G</t>
  </si>
  <si>
    <t>H</t>
  </si>
  <si>
    <t>I</t>
  </si>
  <si>
    <t>J</t>
  </si>
  <si>
    <t>% of</t>
  </si>
  <si>
    <t>Projected</t>
  </si>
  <si>
    <t xml:space="preserve">Revenue </t>
  </si>
  <si>
    <t>Actual</t>
  </si>
  <si>
    <t xml:space="preserve">Net </t>
  </si>
  <si>
    <t>Interest</t>
  </si>
  <si>
    <t xml:space="preserve"> Project #</t>
  </si>
  <si>
    <t>Net Revenue</t>
  </si>
  <si>
    <t>Revenue</t>
  </si>
  <si>
    <t>Received</t>
  </si>
  <si>
    <t>Under/(Over)</t>
  </si>
  <si>
    <t>Prior Period</t>
  </si>
  <si>
    <t>Income</t>
  </si>
  <si>
    <t>Total True-Up</t>
  </si>
  <si>
    <t>Or Other Identifier</t>
  </si>
  <si>
    <t>Project Name</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</si>
  <si>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</si>
  <si>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</si>
  <si>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</si>
  <si>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</si>
  <si>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</si>
  <si>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</si>
  <si>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</si>
  <si>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Attachment 11a</t>
  </si>
  <si>
    <t>Panhandle Okalhoma Assets</t>
  </si>
  <si>
    <t>3a</t>
  </si>
  <si>
    <t>3b</t>
  </si>
  <si>
    <t>3c</t>
  </si>
  <si>
    <t>Total Annual Revenue Requirements (Note A)</t>
  </si>
  <si>
    <t>Monthly Interest Rate</t>
  </si>
  <si>
    <t>Interest Income (Expense)</t>
  </si>
  <si>
    <t>Notes:</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</si>
  <si>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</si>
  <si>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</si>
  <si>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</si>
  <si>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</si>
  <si>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4) Interest from Attachment 6. </t>
  </si>
  <si>
    <t>5)  Prior Period Adjustment from line 5 is pro rata  to each project, unless the error was project specific.</t>
  </si>
  <si>
    <t>Prior Period Adjustment</t>
  </si>
  <si>
    <t>(Note B)</t>
  </si>
  <si>
    <t>In Dollars</t>
  </si>
  <si>
    <t>Note B</t>
  </si>
  <si>
    <t>Col. (b) + Col. (c)</t>
  </si>
  <si>
    <t>5</t>
  </si>
  <si>
    <t>Construction Loan True-up (Note C)</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</si>
  <si>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</si>
  <si>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Prior Period Adjustment is the amount of an adjustment to correct an error in a prior period.  The FERC Refund interest rate specified in CFR 35.19(a) for the period up to the date the projected rates that are subject to True Up here went into effect.</t>
  </si>
  <si>
    <t>At the applicable time.  Amount includes interest and is calculated consistent with Attachment 9</t>
  </si>
  <si>
    <t>Page 1 of 6</t>
  </si>
  <si>
    <t>To be completed in conjunction with Attachment H.</t>
  </si>
  <si>
    <t>Pages 1-2 are to be filed out if the facilities providing Wholesale Distribution Service are booked to transmission.  If the facilities are booked to Distribution, see pages 3-6</t>
  </si>
  <si>
    <t xml:space="preserve">The Wholesale Distribution Revenue Requirement is projected using either pages 1-2 or 3-6. The same pages are populated with actual data and the difference with interest is calculated on Attachment 12 </t>
  </si>
  <si>
    <t>Notes A-H refer to the notes at the bottom of page 2 of 6 of this Attachment</t>
  </si>
  <si>
    <t>Attachment H</t>
  </si>
  <si>
    <t>Page, Line, Col.</t>
  </si>
  <si>
    <t>Transmission</t>
  </si>
  <si>
    <t>Allocator</t>
  </si>
  <si>
    <t>Notes are on Page 2</t>
  </si>
  <si>
    <t>Gross Transmission Plant - Total</t>
  </si>
  <si>
    <t>Attach H, p 2, line 2 col 5 plus line 27 col 5 (Note A)</t>
  </si>
  <si>
    <t>Net Transmission Plant - Total</t>
  </si>
  <si>
    <t>Attach H, p 2, line 16 col 5 plus line 27 &amp; 29 col 5 (Note B)</t>
  </si>
  <si>
    <t>O&amp;M EXPENSE</t>
  </si>
  <si>
    <t>Total O&amp;M Allocated to Transmission</t>
  </si>
  <si>
    <t>Attach H, p 3, line 14 col 5</t>
  </si>
  <si>
    <t>Annual Allocation Factor for O&amp;M</t>
  </si>
  <si>
    <t>(line 3 divided by line 1 col 3)</t>
  </si>
  <si>
    <t>GENERAL, INTANGIBLE AND COMMON (G&amp;C) DEPRECIATION EXPENSE</t>
  </si>
  <si>
    <t>Total G, I &amp; C Depreciation Expense</t>
  </si>
  <si>
    <t>Attach H, p 3, lines 17 &amp; 18, col 5 (Note H)</t>
  </si>
  <si>
    <t>6</t>
  </si>
  <si>
    <t>Annual Allocation Factor for G, I &amp; C Depreciation Expense</t>
  </si>
  <si>
    <t>(line 5 divided by line 1 col 3)</t>
  </si>
  <si>
    <t>TAXES OTHER THAN INCOME TAXES</t>
  </si>
  <si>
    <t>7</t>
  </si>
  <si>
    <t>Total Other Taxes</t>
  </si>
  <si>
    <t>Attach H, p 3, line 30 col 5</t>
  </si>
  <si>
    <t>8</t>
  </si>
  <si>
    <t>Annual Allocation Factor for Other Taxes</t>
  </si>
  <si>
    <t>(line 7 divided by line 1 col 3)</t>
  </si>
  <si>
    <t>9</t>
  </si>
  <si>
    <t>Less Revenue Credits</t>
  </si>
  <si>
    <t>Attach H, p 1, line 7 col 5</t>
  </si>
  <si>
    <t>10</t>
  </si>
  <si>
    <t>Annual Allocation Factor Revenue Credits</t>
  </si>
  <si>
    <t>(line 9 divided by line 1 col 3)</t>
  </si>
  <si>
    <t>11</t>
  </si>
  <si>
    <t>Sum of line 4, 6, 8, and 10</t>
  </si>
  <si>
    <t>INCOME TAXES</t>
  </si>
  <si>
    <t>12</t>
  </si>
  <si>
    <t>Total Income Taxes</t>
  </si>
  <si>
    <t>Attach H, p 3, line 42 col 5</t>
  </si>
  <si>
    <t>13</t>
  </si>
  <si>
    <t>Annual Allocation Factor for Income Taxes</t>
  </si>
  <si>
    <t>(line 12 divided by line 2 col 3)</t>
  </si>
  <si>
    <t>14</t>
  </si>
  <si>
    <t>Return on Rate Base</t>
  </si>
  <si>
    <t>Attach H, p 3, line 46 col 5</t>
  </si>
  <si>
    <t>15</t>
  </si>
  <si>
    <t>Annual Allocation Factor for Return on Rate Base</t>
  </si>
  <si>
    <t>(line 14 divided by line 2 col 3)</t>
  </si>
  <si>
    <t>16</t>
  </si>
  <si>
    <t>Sum of line 13 and 15</t>
  </si>
  <si>
    <t>Page 2 of 6</t>
  </si>
  <si>
    <t>Annual Allocation Factor for Expense, Page 1 line 11</t>
  </si>
  <si>
    <t>Project Net Plant     (Note G)</t>
  </si>
  <si>
    <t>Project Depreciation/Amortization Expense   (Notes F &amp; G)</t>
  </si>
  <si>
    <t xml:space="preserve">Annual Revenue Requirement </t>
  </si>
  <si>
    <t>Use %   (Note H)</t>
  </si>
  <si>
    <t>(Note B and C)</t>
  </si>
  <si>
    <t>(Page 1 line 11)</t>
  </si>
  <si>
    <t>(Col. 2 * Col. 3)</t>
  </si>
  <si>
    <t>(Note D)</t>
  </si>
  <si>
    <t>(Page 1 line 16)</t>
  </si>
  <si>
    <t>(Col. 5 * Col. 6)</t>
  </si>
  <si>
    <t>(Note E )</t>
  </si>
  <si>
    <t>(Sum Col. 4, 7 &amp; 8)</t>
  </si>
  <si>
    <t>(Sum Col. 9 &amp; 10)</t>
  </si>
  <si>
    <t>15a</t>
  </si>
  <si>
    <t>15b</t>
  </si>
  <si>
    <t>15c</t>
  </si>
  <si>
    <t>Annual Totals</t>
  </si>
  <si>
    <t>Note</t>
  </si>
  <si>
    <t>Letter</t>
  </si>
  <si>
    <t>Gross Transmission Plant is that identified on page 2 line 2 of Attachment H</t>
  </si>
  <si>
    <t>Inclusive of any CWIP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</si>
  <si>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</si>
  <si>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</si>
  <si>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2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</si>
  <si>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16.  Project Depreciation Expense includes the amortization of Abandoned Plant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</si>
  <si>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</si>
  <si>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</si>
  <si>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Use % is the customers NCP load divided by all of the NCP loads on the facilities</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</si>
  <si>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</si>
  <si>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page 1 of 5</t>
  </si>
  <si>
    <t>Rate Formula Template</t>
  </si>
  <si>
    <t>Utilizing FERC Form 1 Data</t>
  </si>
  <si>
    <t>Allocated</t>
  </si>
  <si>
    <t>GROSS REVENUE REQUIREMENT</t>
  </si>
  <si>
    <t>(page 3, line 47)</t>
  </si>
  <si>
    <t xml:space="preserve">REVENUE CREDITS </t>
  </si>
  <si>
    <t>(Note O)</t>
  </si>
  <si>
    <t xml:space="preserve">  Account No. 454</t>
  </si>
  <si>
    <t>TP</t>
  </si>
  <si>
    <t xml:space="preserve">  Account No. 456.1</t>
  </si>
  <si>
    <t xml:space="preserve">  Account No. 457.1 Scheduling</t>
  </si>
  <si>
    <t>Attachment 5, line 36, col e</t>
  </si>
  <si>
    <t xml:space="preserve">  Revenues from Grandfathered Interzonal Transactions </t>
  </si>
  <si>
    <t>(Note N)</t>
  </si>
  <si>
    <t xml:space="preserve">  Revenues from service provided by the ISO at a discount</t>
  </si>
  <si>
    <t xml:space="preserve">TOTAL REVENUE CREDITS </t>
  </si>
  <si>
    <t>(Sum of Lines 2 through 6)</t>
  </si>
  <si>
    <t>NET REVENUE REQUIREMENT</t>
  </si>
  <si>
    <t>(line 1 minus line 7)</t>
  </si>
  <si>
    <t>True-up Adjustment with Interest</t>
  </si>
  <si>
    <t>Attachment 3, Col. J</t>
  </si>
  <si>
    <t>(line 8 plus line 9)</t>
  </si>
  <si>
    <t>page 2 of 5</t>
  </si>
  <si>
    <t>GROSS PLANT IN SERVICE   (Notes U and R)</t>
  </si>
  <si>
    <t>205.46.g for end of year, records for other months</t>
  </si>
  <si>
    <t>Attachment 4, Line 14, Col. (b)</t>
  </si>
  <si>
    <t>Attachment 4, Line 14, Col. (c)</t>
  </si>
  <si>
    <t>356.1 for end of year, records for other months</t>
  </si>
  <si>
    <t>ACCUMULATED DEPRECIATION  (Notes U and R)</t>
  </si>
  <si>
    <t>219.20-24.c for end of year, records for other months</t>
  </si>
  <si>
    <t>Attachment 4, Line 14, Col. (h)</t>
  </si>
  <si>
    <t>219.26.c for end of year, records for other months</t>
  </si>
  <si>
    <t>Attachment 4, Line 14, Col. (i)</t>
  </si>
  <si>
    <t>ADJUSTMENTS TO RATE BASE  (Note R)</t>
  </si>
  <si>
    <t>Attachment 4, Line 28, Col. (d) (Notes B and X)</t>
  </si>
  <si>
    <t>Attachment 4, Line 28, Col. (e) (Notes B and X)</t>
  </si>
  <si>
    <t>Attachment 4, Line 28, Col. (f) (Notes B and X)</t>
  </si>
  <si>
    <t>Attachment 4, Line 28, Col. (g) (Notes B and X)</t>
  </si>
  <si>
    <t>Attachment 4, Line 28, Col. (h) (Notes B and X)</t>
  </si>
  <si>
    <t>Attachment 4, Line 31, Col. (h)</t>
  </si>
  <si>
    <t>Attachment 4, Line 14, Col. (d)</t>
  </si>
  <si>
    <t>Attachment 4, Line 28, Col. (b) (Note T)</t>
  </si>
  <si>
    <t>Attachment 4, Line 28, Col. (c) (Note S)</t>
  </si>
  <si>
    <t xml:space="preserve">LAND HELD FOR FUTURE USE  </t>
  </si>
  <si>
    <t>Attachment 4, Line 14, Col. (e) (Note C)</t>
  </si>
  <si>
    <t>1/8*(Page 3, Col 3, Line 14 minus Page 3, Col 3, Line 11)</t>
  </si>
  <si>
    <t>Attachment 4, Line 14, Col. (f) (Note C)</t>
  </si>
  <si>
    <t>Attachment 4, Line 14, Col. (g)</t>
  </si>
  <si>
    <t>page 3 of 5</t>
  </si>
  <si>
    <t xml:space="preserve">  Transmission </t>
  </si>
  <si>
    <t>321.112.b Attach. 5, Line 13, Col. (a)</t>
  </si>
  <si>
    <t xml:space="preserve">     Less Account 566 (Misc Trans Expense)</t>
  </si>
  <si>
    <t xml:space="preserve">321.97.b Attach. 5, Line 13, Col. (b) </t>
  </si>
  <si>
    <t xml:space="preserve">     Less Account 565</t>
  </si>
  <si>
    <t>321.96.b Attach. 5, Line 13, Col. (c)</t>
  </si>
  <si>
    <t>323.197.b Attach. 5, Line 13, Col. (d)</t>
  </si>
  <si>
    <t>Attach. 5, Line 13, Col. (e)</t>
  </si>
  <si>
    <t>(Note E) Attach. 5, Line 13, Col. (f)</t>
  </si>
  <si>
    <t>6a</t>
  </si>
  <si>
    <t>Attachment 7, Line 8, Col. (g)</t>
  </si>
  <si>
    <t xml:space="preserve">     Plus Transmission Related Reg. Comm. Exp.  </t>
  </si>
  <si>
    <t>(Note E) Attach. 5, Line 13, Col. (g)</t>
  </si>
  <si>
    <t>7a</t>
  </si>
  <si>
    <t>Attachment 7, Line 6, Col. (g)</t>
  </si>
  <si>
    <t>356.1</t>
  </si>
  <si>
    <t xml:space="preserve">  Transmission Lease Payments</t>
  </si>
  <si>
    <t>Attach. 5, Line 13, Col (h)</t>
  </si>
  <si>
    <t>Account 566</t>
  </si>
  <si>
    <t xml:space="preserve">   Amortization of Regulatory Asset</t>
  </si>
  <si>
    <t>(Note T) Attach. 5, Line 13, Col. (i)</t>
  </si>
  <si>
    <t xml:space="preserve">   Miscellaneous Transmission Expense (less amortization of regulatory asset)</t>
  </si>
  <si>
    <t>Attach. 5, Line 13, Col .(j)</t>
  </si>
  <si>
    <t>Total Account 566</t>
  </si>
  <si>
    <t>(Line 11 plus Line 12) Ties to 321.97.b</t>
  </si>
  <si>
    <t>(Sum of Lines 1, 4, 7, 7a, 8, 9, 13 less Lines 2, 3, 5, 6, 6a)</t>
  </si>
  <si>
    <t>DEPRECIATION EXPENSE  (Note U)</t>
  </si>
  <si>
    <t>336.7.b, d &amp;e Attach. 5, Line 13, Col. (k)</t>
  </si>
  <si>
    <t>336.10.b, d &amp;e, 336.1.b, d &amp;e Attach. 5, Line 26, Col. (a)</t>
  </si>
  <si>
    <t>336.11.b, d &amp;e</t>
  </si>
  <si>
    <t xml:space="preserve">  Amortization of Abandoned Plant</t>
  </si>
  <si>
    <t>(Note S) Attach. 5, Line 26, Col. (b)</t>
  </si>
  <si>
    <t>(Sum of Lines 16 through 19)</t>
  </si>
  <si>
    <t>(Note F)</t>
  </si>
  <si>
    <t>263.i Attach. 5, Line 26, Col. (c)</t>
  </si>
  <si>
    <t>263.i Attach. 5, Line 26, Col. (d)</t>
  </si>
  <si>
    <t>263.i Attach. 5, Line 26, Co.l (e)</t>
  </si>
  <si>
    <t>263.i Attach. 5, Line 26, Col. (f)</t>
  </si>
  <si>
    <t>263.i Attach. 5, Line 26, Col. (g)</t>
  </si>
  <si>
    <t>263.i Attach. 5, Line 26, Col. (h)</t>
  </si>
  <si>
    <t>(Sum of Lines 23 through 29)</t>
  </si>
  <si>
    <t>(Note G) Attachment 13, Line 12, Col. 12</t>
  </si>
  <si>
    <t>266.8f (enter negative) Attach. 5, Line 26, Col. (i)</t>
  </si>
  <si>
    <t>Attach. 4h, Line 4, Col. (K)</t>
  </si>
  <si>
    <t>Attach. 5, Line 26, Col. (k) (Note W)</t>
  </si>
  <si>
    <t>(Line 32/(1-Line32) times (Page 4 Lines 32 + 33)) times Page 2 Line 37)</t>
  </si>
  <si>
    <t>(Sum of Lines 40 through 43)</t>
  </si>
  <si>
    <t>(Page 2, Line 37 times Page 4, Line 23)</t>
  </si>
  <si>
    <t>(Sum of Lines 14, 20, 30, 42 &amp; 44)</t>
  </si>
  <si>
    <t>page 4 of 5</t>
  </si>
  <si>
    <t>TRANSMISSION PLANT INCLUDED IN ISO RATES</t>
  </si>
  <si>
    <t xml:space="preserve">Total Transmission plant  </t>
  </si>
  <si>
    <t>(Page 2, Line 2, Column 3)</t>
  </si>
  <si>
    <t xml:space="preserve">Less Transmission plant excluded from ISO rates  </t>
  </si>
  <si>
    <t>(Note H)</t>
  </si>
  <si>
    <t xml:space="preserve">Less Transmission plant included in OATT Ancillary Services  </t>
  </si>
  <si>
    <t>(Note I)</t>
  </si>
  <si>
    <t>Transmission plant included in ISO rates</t>
  </si>
  <si>
    <t>(Line 1 minus Lines 2 &amp; 3)</t>
  </si>
  <si>
    <t xml:space="preserve">Percentage of Transmission plant included in ISO Rates  </t>
  </si>
  <si>
    <t>(Line 4 divided by Line 1)</t>
  </si>
  <si>
    <t>TP=</t>
  </si>
  <si>
    <t>354.20.b</t>
  </si>
  <si>
    <t>354.21.b</t>
  </si>
  <si>
    <t>354.23.b</t>
  </si>
  <si>
    <t>354.24,25,26.b</t>
  </si>
  <si>
    <t>(Sum of Lines 7 through 10)</t>
  </si>
  <si>
    <t xml:space="preserve">COMMON PLANT ALLOCATOR  (CE)  (Note J and X) </t>
  </si>
  <si>
    <t>200.3.c</t>
  </si>
  <si>
    <t>(line 13 / line 16)</t>
  </si>
  <si>
    <t>(line 11)</t>
  </si>
  <si>
    <t>201.3.d</t>
  </si>
  <si>
    <t>201.3.e, f, and g</t>
  </si>
  <si>
    <t>(Sum of Lines 13 through 15)</t>
  </si>
  <si>
    <t>(Note V)</t>
  </si>
  <si>
    <t>(Notes Q &amp; R)</t>
  </si>
  <si>
    <t>(Notes K, Q &amp; R)</t>
  </si>
  <si>
    <t>(Sum of Lines 20 through 22)</t>
  </si>
  <si>
    <t>REVENUE CREDITS</t>
  </si>
  <si>
    <t>ACCOUNT 447 (SALES FOR RESALE) (Note L)</t>
  </si>
  <si>
    <r>
      <t>310 -</t>
    </r>
    <r>
      <rPr>
        <sz val="10"/>
        <rFont val="Times New Roman"/>
        <family val="1"/>
      </rPr>
      <t>311</t>
    </r>
  </si>
  <si>
    <t xml:space="preserve">a. Bundled Non-RQ Sales for Resale </t>
  </si>
  <si>
    <t>311.x.h</t>
  </si>
  <si>
    <t xml:space="preserve">b. Bundled Sales for Resale </t>
  </si>
  <si>
    <t xml:space="preserve">Attach 5, line 36, col (a) </t>
  </si>
  <si>
    <t xml:space="preserve">  Total of (a)-(b)</t>
  </si>
  <si>
    <t xml:space="preserve">ACCOUNT 454 (RENT FROM ELECTRIC PROPERTY) </t>
  </si>
  <si>
    <t xml:space="preserve">(Note M) Attach 5, line 36, col (b) </t>
  </si>
  <si>
    <t>ACCOUNT 456.1 (OTHER ELECTRIC REVENUES)</t>
  </si>
  <si>
    <t xml:space="preserve">330.x.n </t>
  </si>
  <si>
    <t xml:space="preserve">a. Transmission charges for all transmission transactions </t>
  </si>
  <si>
    <t xml:space="preserve">Attach 5, line 36, col (c) </t>
  </si>
  <si>
    <t>b. Transmission charges associated with Project detailed on the Project Rev Req Schedule Col. 10.</t>
  </si>
  <si>
    <t xml:space="preserve">Attach 5, line 36, col (d) </t>
  </si>
  <si>
    <t>page 5 of 5</t>
  </si>
  <si>
    <t>General Note:  References to pages in this formulary rate are indicated as:  (page#, line#, col.#)</t>
  </si>
  <si>
    <t>References to data from FERC Form 1 are indicated as:  #.y.x  (page, line, column)</t>
  </si>
  <si>
    <t xml:space="preserve">A </t>
  </si>
  <si>
    <t>Reserved</t>
  </si>
  <si>
    <t xml:space="preserve">B </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</si>
  <si>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The calculations of ADIT in the annual true-up calculation will use the 13 month average balances for non-plant related items and the prorated end-of-year balances for plant related items. The calculation of ADIT in the annual projection and Annual True-Up calculations will be performed in accordance with IRS regulation Section 1.167(l)-1(h)(6). Work papers supporting the ADIT calculations will be posted with each Annual True-Up and/or projected net revenue requirement and included in the annual Informational Filing submitted to the Commission. Beginning with the 2019 rate year, the Annual True-Up for a given year will use the same methodology that was used to project that year’s rates. The proration of the Annual True-Up shall apply beginning with the 2019 Annual True-Up.</t>
  </si>
  <si>
    <t>Identified in Form 1 as being only transmission related.</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</si>
  <si>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</si>
  <si>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</si>
  <si>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</si>
  <si>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and Deficient Deferred Income Taxes reduce or increase income tax expense by the amount of the excess or deficient expense multiplied by (T/1-T).</t>
  </si>
  <si>
    <t xml:space="preserve">         Inputs Required:</t>
  </si>
  <si>
    <t>FIT =</t>
  </si>
  <si>
    <t>See Attachment 13</t>
  </si>
  <si>
    <t>(Weighted Average Federal Income Tax Rate)</t>
  </si>
  <si>
    <t>SIT=</t>
  </si>
  <si>
    <t>(Weighted Average State Income Tax Rate or Composite SIT)</t>
  </si>
  <si>
    <t>p =</t>
  </si>
  <si>
    <t>(Weighted Average Reduction in State Income Tax Rate from Deductibility of Federal Income Taxes)</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</si>
  <si>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</si>
  <si>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</si>
  <si>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Enter dollar amounts</t>
  </si>
  <si>
    <t>K</t>
  </si>
  <si>
    <t>ROE will be supported in the original filing and no change in ROE may be made absent a filing with FERC.</t>
  </si>
  <si>
    <t xml:space="preserve">L </t>
  </si>
  <si>
    <t>Page 4, Line 28 must equal zero since all short-term power sales must be unbundled and the transmission component reflected in Account No. 456.1.</t>
  </si>
  <si>
    <t>M</t>
  </si>
  <si>
    <t>Includes income related only to transmission facilities, such as pole attachments, rentals and special use.</t>
  </si>
  <si>
    <t xml:space="preserve">N </t>
  </si>
  <si>
    <t xml:space="preserve">Company will not have any grandfathered agreements.  Therefore, this line shall remain zero. </t>
  </si>
  <si>
    <t>O</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</si>
  <si>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</si>
  <si>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P</t>
  </si>
  <si>
    <t>Q</t>
  </si>
  <si>
    <t>Prior to obtaining long term debt, the cost of debt, will be 1.99%.  If GridLiance High Plains obtains project financing, the long term debt rate will be determined using the methodology in Attachment 8 and Attachment 8 contains a hypothetical example of the internal rate of return methodology; the methodology will be applied to actual amounts for use in Attachment H.  Once there is $100 million in rate base, GridLiance High Plains will use the its actual cost of long term debt determined in Attachment 5.    The capital structure will be 60% equity and 40% debt during the construction period, after any asset is placed in service, it will be based on the actual capital structure, but capped at 60% equity.</t>
  </si>
  <si>
    <t>R</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</si>
  <si>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end of year balances for plant related ADIT.</t>
  </si>
  <si>
    <t>S</t>
  </si>
  <si>
    <t>Unamortized Abandoned Plant and Amortization of Abandoned Plant will be zero until the Commission accepts or approves recovery of the cost of abandoned plant.  Utility must receive FERC authorization before recovering the cost of abandoned plant.</t>
  </si>
  <si>
    <t>T</t>
  </si>
  <si>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</si>
  <si>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t>
  </si>
  <si>
    <t>Excludes Asset Retirement Obligation balances</t>
  </si>
  <si>
    <t>V</t>
  </si>
  <si>
    <t>Company shall be allowed recovery of costs related to interest rate locks.  Absent a Section 205 filing, Company shall not include in the Formula Rate, the gains, losses, or costs related to other hedges.</t>
  </si>
  <si>
    <t>W</t>
  </si>
  <si>
    <t>The Tax Effect of Permanent Differences captures the differences in the income taxes due under the Federal and State calculations and the income taxes calculated in Attachment H that are not the result of a timing difference</t>
  </si>
  <si>
    <t>X</t>
  </si>
  <si>
    <t>Calculate using a simple average of beginning of year and end of year balances reconciling to FERC Form No. 1 by Page, Line and Column as shown in Column 2.</t>
  </si>
  <si>
    <t>Attachment 1</t>
  </si>
  <si>
    <t>Page 1 of 2</t>
  </si>
  <si>
    <t>Project Revenue Requirement Worksheet</t>
  </si>
  <si>
    <t>Attach H, p 3, line 44 col 5</t>
  </si>
  <si>
    <t>Page 2 of 2</t>
  </si>
  <si>
    <t xml:space="preserve"> (12a)</t>
  </si>
  <si>
    <t>(14)</t>
  </si>
  <si>
    <t>(15)</t>
  </si>
  <si>
    <t>(16)</t>
  </si>
  <si>
    <t>Project Name (Notes M &amp; N)</t>
  </si>
  <si>
    <t>ITEP Project Number</t>
  </si>
  <si>
    <t>Annual Revenue Requirement</t>
  </si>
  <si>
    <t>Incentive Return in basis Points</t>
  </si>
  <si>
    <t>Incentive Return</t>
  </si>
  <si>
    <t>Ceiling Rate</t>
  </si>
  <si>
    <t>Discount</t>
  </si>
  <si>
    <t>Total Annual Revenue Requirement</t>
  </si>
  <si>
    <t>True-Up Adjustment</t>
  </si>
  <si>
    <t>Net Rev Req</t>
  </si>
  <si>
    <t>(Note C)</t>
  </si>
  <si>
    <t>(Col. 3 * Col. 4)</t>
  </si>
  <si>
    <t>(Notes B, D &amp; I)</t>
  </si>
  <si>
    <t>(Col. 6 * Col. 7)</t>
  </si>
  <si>
    <t>(Notes E &amp; I)</t>
  </si>
  <si>
    <t>(Sum Col. 5, 8 &amp; 9)</t>
  </si>
  <si>
    <t>(Note K)</t>
  </si>
  <si>
    <t>(Attachment 2, Line 28 /100 * Col. 11)</t>
  </si>
  <si>
    <t>(Sum Col. 10 &amp; 12)</t>
  </si>
  <si>
    <t>(Note J)</t>
  </si>
  <si>
    <t>(Sum Col. 10 &amp; 12 Less Col. 13)</t>
  </si>
  <si>
    <t>Sum Col. 14 &amp; 15 
(Note G)</t>
  </si>
  <si>
    <t>Inclusive of any CWIP or unamortized abandoned plant included in rate base when authorized by FERC order less any prefunded AFUDC, if applicable.</t>
  </si>
  <si>
    <t>Project Net Plant is the Project Gross Plant Identified in Column 3 less the associated Accumulated Depreciation.  Net Plant includes CWIP and Unamortized Abandoned Plant and excludes any regulatory asset, which are to entered as a separate line item.</t>
  </si>
  <si>
    <t>True-Up Adjustment is calculated on the Project True-up Schedule for the Rate Year</t>
  </si>
  <si>
    <t>The Net Rev Req is the value to be used in the SPP's rate calculation under the applicable Schedule under the SPP OATT for each project.</t>
  </si>
  <si>
    <t>The discount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</si>
  <si>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</si>
  <si>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All facilities other than those being recovered under Schedules 7, 8, 9 are to be included in Attachment 1.</t>
  </si>
  <si>
    <t>N</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</si>
  <si>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</si>
  <si>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</si>
  <si>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</si>
  <si>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Attachment 2</t>
  </si>
  <si>
    <t>Incentive ROE</t>
  </si>
  <si>
    <t>Rate Base</t>
  </si>
  <si>
    <t xml:space="preserve">Attachment H, Page 2 line 37, Col.5 </t>
  </si>
  <si>
    <t>100 Basis Point Incentive Return</t>
  </si>
  <si>
    <t>(Attachment H, Notes Q and R)</t>
  </si>
  <si>
    <t xml:space="preserve">  Preferred Stock  </t>
  </si>
  <si>
    <t>(Attachment H, Notes K, Q and R)</t>
  </si>
  <si>
    <t>Cost = Attachment H, Page 4 Line 22, Cost plus .01</t>
  </si>
  <si>
    <t>Total  (sum lines 3-5)</t>
  </si>
  <si>
    <t>100 Basis Point Incentive Return multiplied by Rate Base (line 1 * line 6)</t>
  </si>
  <si>
    <t xml:space="preserve">     T=SIT * (1-FIT) + FIT - (P*FIT)</t>
  </si>
  <si>
    <t>Attachment 13, Line 12, Col. 12</t>
  </si>
  <si>
    <t>Amortized Investment Tax Credit (266.8f) (enter negative)</t>
  </si>
  <si>
    <t>Attachment H, Page 3, Line 35</t>
  </si>
  <si>
    <t>(Excess)/Deficient Deferred Income Taxes (enter negative)</t>
  </si>
  <si>
    <t>Attachment H, Page 3, Line 36</t>
  </si>
  <si>
    <t>Tax Effect of Permanent Differences  (Note B)</t>
  </si>
  <si>
    <t>Attachment H, Page 3, Line 37</t>
  </si>
  <si>
    <t>Income Tax Calculation</t>
  </si>
  <si>
    <t>Attachment H, Page 3, Line 38</t>
  </si>
  <si>
    <t>Return and Income Taxes with 100 basis point increase in ROE</t>
  </si>
  <si>
    <t>Return    (Attach. H, page 3 line 46 col 5)</t>
  </si>
  <si>
    <t>Income Tax    (Attach. H, page 3 line 44 col 5)</t>
  </si>
  <si>
    <t>Return and Income Taxes without 100 basis point increase in ROE</t>
  </si>
  <si>
    <t>Incremental Return and Income Taxes for 100 basis point increase in ROE</t>
  </si>
  <si>
    <t>Rate Base (line 1)</t>
  </si>
  <si>
    <t>Incremental Return and Income Taxes for 100 basis point increase in ROE divided by Rate Base</t>
  </si>
  <si>
    <t xml:space="preserve">Notes: </t>
  </si>
  <si>
    <t>Line 5 includes a 100 basis point increase in ROE that is used only to determine the increase in return and income taxes associated with</t>
  </si>
  <si>
    <t>a 100 basis point increase in ROE.  Any actual ROE incentive must be approved by the Commission.</t>
  </si>
  <si>
    <t>For example, if the Commission were to grant a 137 basis point ROE incentive, the increase in return and taxes for a 100 basis point</t>
  </si>
  <si>
    <t>increase in ROE would be multiplied by 1.37 on Attachment 1 column 12.</t>
  </si>
  <si>
    <t>The Tax Effect of Permanent Differences captures the differences in the income taxes due under the Federal and State calculations and the income taxes calculated</t>
  </si>
  <si>
    <t xml:space="preserve"> in Attachment H that are not the result of a timing difference</t>
  </si>
  <si>
    <t>Attachment 3</t>
  </si>
  <si>
    <t>Project True-Up</t>
  </si>
  <si>
    <t>1) From Attachment 1, line 15, col. 14 for the projection for the Rate Year.</t>
  </si>
  <si>
    <t>2) From Attachment 1, line 15, col. 14 for that project based on the actual costs for the Rate Year.</t>
  </si>
  <si>
    <t>3) The "Revenue Received" on line 2, Col. (E), is the total amount of revenue distributed to company in the  year as shown on  pages 328-330 of the Form No 1. The Revenue Received is input on line 2, Col. E excludes any True-Up revenues.</t>
  </si>
  <si>
    <t>Construction Load True-up (Note C)</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</si>
  <si>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</si>
  <si>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Attachment 4</t>
  </si>
  <si>
    <t xml:space="preserve">Rate Base Worksheet </t>
  </si>
  <si>
    <t>CWIP</t>
  </si>
  <si>
    <t>Accumulated Depreciation</t>
  </si>
  <si>
    <t>General &amp; Intangible</t>
  </si>
  <si>
    <t xml:space="preserve">CWIP in Rate Base </t>
  </si>
  <si>
    <t xml:space="preserve">  Prepayments</t>
  </si>
  <si>
    <t>(i)</t>
  </si>
  <si>
    <t>Attachment H, Page 2, Line No:</t>
  </si>
  <si>
    <t>207.58.g for end of year, records for other months</t>
  </si>
  <si>
    <t>205.5.g &amp; 207.99.g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</si>
  <si>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</si>
  <si>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</si>
  <si>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</si>
  <si>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</si>
  <si>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Adjustments to Rate Base</t>
  </si>
  <si>
    <t xml:space="preserve">Unamortized Regulatory Asset </t>
  </si>
  <si>
    <t xml:space="preserve">Unamortized Abandoned Plant  </t>
  </si>
  <si>
    <t>Account No. 281
Accumulated Deferred Income Taxes (Note D)</t>
  </si>
  <si>
    <t>Account No. 282
Accumulated Deferred Income Taxes (Note D)</t>
  </si>
  <si>
    <t>Account No. 283
Accumulated Deferred Income Taxes (Note D)</t>
  </si>
  <si>
    <t>Account No. 190
Accumulated Deferred Income Taxes (Note D)</t>
  </si>
  <si>
    <t>Account No. 255
Accumulated Deferred Investment Credit</t>
  </si>
  <si>
    <t>Notes A &amp; E</t>
  </si>
  <si>
    <t>Notes B &amp; F</t>
  </si>
  <si>
    <t>272.8.b &amp; 273.8.k</t>
  </si>
  <si>
    <t>Attachment 4a or 4e</t>
  </si>
  <si>
    <t>Consistent with 266.8.b &amp; 267.8.h</t>
  </si>
  <si>
    <t>Average of the 13 Monthly Balances</t>
  </si>
  <si>
    <t>(No 281 ADIT)</t>
  </si>
  <si>
    <t>(Attachment 4a, Line 8 Total)</t>
  </si>
  <si>
    <t>(Attachment 4a, Line 16 Total)</t>
  </si>
  <si>
    <t>(Attachment 4a, Line 24 Total)</t>
  </si>
  <si>
    <t>Unfunded Reserves    (Notes G &amp; H)</t>
  </si>
  <si>
    <t>30a</t>
  </si>
  <si>
    <t>30b</t>
  </si>
  <si>
    <t>30c</t>
  </si>
  <si>
    <t>30d</t>
  </si>
  <si>
    <t>Reserve 4</t>
  </si>
  <si>
    <t>30e</t>
  </si>
  <si>
    <t>30f</t>
  </si>
  <si>
    <t>Recovery of regulatory asset is limited to any regulatory assets authorized by FERC.</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</si>
  <si>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</si>
  <si>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</si>
  <si>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</si>
  <si>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</si>
  <si>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</si>
  <si>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</si>
  <si>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Calculate using 13 month average balance, except ADIT which is calculated as described in Note D.</t>
  </si>
  <si>
    <t>Attachment 5</t>
  </si>
  <si>
    <t>Attachment H, Pages 3 and 4, Worksheet</t>
  </si>
  <si>
    <t>Transmission O&amp;M Expenses</t>
  </si>
  <si>
    <t>Account No. 566 (Misc. Trans. Expense)</t>
  </si>
  <si>
    <t>Account No. 565</t>
  </si>
  <si>
    <t>A&amp;G Expenses</t>
  </si>
  <si>
    <t>FERC Annual Fees</t>
  </si>
  <si>
    <t>EPRI &amp; Reg. Comm. Exp. &amp; Non-safety  Ad.</t>
  </si>
  <si>
    <t>Transmission Related Reg. Comm. Exp.</t>
  </si>
  <si>
    <t>Transmission Lease Payments</t>
  </si>
  <si>
    <t>Amortization of Regulatory Asset</t>
  </si>
  <si>
    <t>Depreciation Expense - Transmission</t>
  </si>
  <si>
    <t>(j)</t>
  </si>
  <si>
    <t>(k)</t>
  </si>
  <si>
    <t>Attachment H, Page 3, Line No.:</t>
  </si>
  <si>
    <t>Form No. 1</t>
  </si>
  <si>
    <t>321.112.b</t>
  </si>
  <si>
    <t>321.97.b</t>
  </si>
  <si>
    <t>321.96.b</t>
  </si>
  <si>
    <t>323.197.b</t>
  </si>
  <si>
    <t>(Note E)</t>
  </si>
  <si>
    <t>Portion of Transmission O&amp;M</t>
  </si>
  <si>
    <t>Portion of Account 566</t>
  </si>
  <si>
    <t>Balance of Account 566</t>
  </si>
  <si>
    <t>336.7.b, d &amp; e</t>
  </si>
  <si>
    <t>1</t>
  </si>
  <si>
    <t>2</t>
  </si>
  <si>
    <t>3</t>
  </si>
  <si>
    <t>March</t>
  </si>
  <si>
    <t>4</t>
  </si>
  <si>
    <t>August</t>
  </si>
  <si>
    <t>December</t>
  </si>
  <si>
    <t>Depreciation Expense - General &amp; Intangible</t>
  </si>
  <si>
    <t>Amortization of Abandoned Plant</t>
  </si>
  <si>
    <t>Payroll Taxes</t>
  </si>
  <si>
    <t>Highway &amp; Vehicle Taxes</t>
  </si>
  <si>
    <t>Property Taxes</t>
  </si>
  <si>
    <t>Gross Receipts Taxes</t>
  </si>
  <si>
    <t>Other Taxes</t>
  </si>
  <si>
    <t>Payments in lieu of Taxes</t>
  </si>
  <si>
    <t>Amortized Investment Tax Credit (266.8f)</t>
  </si>
  <si>
    <t>Attachment H, Page 3, Line Number</t>
  </si>
  <si>
    <t>336.10.b, d &amp; e, 336.1.b, d &amp; e</t>
  </si>
  <si>
    <t>(Note S)</t>
  </si>
  <si>
    <t>263.i</t>
  </si>
  <si>
    <t>266.8.f</t>
  </si>
  <si>
    <t>(Note W)</t>
  </si>
  <si>
    <t>17</t>
  </si>
  <si>
    <t>18</t>
  </si>
  <si>
    <t>19</t>
  </si>
  <si>
    <t>20</t>
  </si>
  <si>
    <t>21</t>
  </si>
  <si>
    <t>22</t>
  </si>
  <si>
    <t>23</t>
  </si>
  <si>
    <t>24</t>
  </si>
  <si>
    <t>25</t>
  </si>
  <si>
    <t>26</t>
  </si>
  <si>
    <t>Bundled Sales for Resale  included on page 4 of Attachment H</t>
  </si>
  <si>
    <t xml:space="preserve">Transmission charges for all transmission transactions </t>
  </si>
  <si>
    <t>Transmission charges associated with Project detailed on the Project Rev Req Schedule Col. 10.</t>
  </si>
  <si>
    <t>Attachment H, Page 4, Line No:</t>
  </si>
  <si>
    <t>29</t>
  </si>
  <si>
    <t>Attach H, p 1 line 4</t>
  </si>
  <si>
    <t>(Note L)</t>
  </si>
  <si>
    <t>(Note M)</t>
  </si>
  <si>
    <t>Portion of Account 456.1</t>
  </si>
  <si>
    <t>Notes K, Q &amp; R from Attachment H</t>
  </si>
  <si>
    <t>Long Term Interest (117, sum of 62.c through 67.c)</t>
  </si>
  <si>
    <t>Preferred Dividends (118.29c) (positive number)</t>
  </si>
  <si>
    <t>Proprietary Capital (112.16.c)</t>
  </si>
  <si>
    <t xml:space="preserve">Less Preferred Stock (112.3.c) </t>
  </si>
  <si>
    <t>Less Account 216.1 (112.12.c)  (enter negative)</t>
  </si>
  <si>
    <t>Common Stock</t>
  </si>
  <si>
    <t>(sum lines 41-43)</t>
  </si>
  <si>
    <t>Note A</t>
  </si>
  <si>
    <t xml:space="preserve">Note C  </t>
  </si>
  <si>
    <t>(Sum of Lines 45-47)</t>
  </si>
  <si>
    <t>Note:</t>
  </si>
  <si>
    <t>Long Term Debt balance will reflect the 13 month average of the balances, of which the 1st and 13th are found on page 112 lines 18.c &amp; d to 21.c &amp; d in the Form No. 1, the cost is calculated by dividing line 39 by the Long Term Debt balance in line 45.</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</si>
  <si>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</si>
  <si>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</si>
  <si>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Common equity ratio capped at 60%</t>
  </si>
  <si>
    <t>Attachment 4a - Accumulated Deferred Income Taxes (ADIT) Average Worksheet (Projection)</t>
  </si>
  <si>
    <t>Projection for the 12 Months Ended 12/31/____</t>
  </si>
  <si>
    <t>Ln</t>
  </si>
  <si>
    <t>Beginning Balance &amp; Monthly Changes</t>
  </si>
  <si>
    <t>Year</t>
  </si>
  <si>
    <t xml:space="preserve">Balance </t>
  </si>
  <si>
    <t>Transmission Related</t>
  </si>
  <si>
    <t>Plant Related</t>
  </si>
  <si>
    <t>Labor Related</t>
  </si>
  <si>
    <t>Total
(Sum Col. (e), (f) &amp; (g))</t>
  </si>
  <si>
    <t>ADIT-282</t>
  </si>
  <si>
    <t>Balance-BOY (Attach 4c, Line 30)</t>
  </si>
  <si>
    <t>-</t>
  </si>
  <si>
    <t>Balance-EOY (Attach 4d, Line 30 less Line 26)</t>
  </si>
  <si>
    <t>Balance-EOY-Prorated (Attach 4b, Line 14)</t>
  </si>
  <si>
    <t>Balance-EOY-Total (Lines 2+3)</t>
  </si>
  <si>
    <t>Total Plant Allocator</t>
  </si>
  <si>
    <t>Net Plant Allocator</t>
  </si>
  <si>
    <t>Attachment H, Page 2, Line 20</t>
  </si>
  <si>
    <t>Wages &amp; Salary Allocator</t>
  </si>
  <si>
    <t>Attachment H, Page 4, Line 11</t>
  </si>
  <si>
    <t>Projected ADIT Total</t>
  </si>
  <si>
    <t>Enter as negative Attachment 4, Page 1, Line 28 for Projection</t>
  </si>
  <si>
    <t>ADIT-283</t>
  </si>
  <si>
    <t>Balance-BOY (Attach 4c, Line 44)</t>
  </si>
  <si>
    <t>Balance-EOY (Attach 4d, Line 44 less Line 40)</t>
  </si>
  <si>
    <t>Balance-EOY-Prorated (Attach 4b, Line 28)</t>
  </si>
  <si>
    <t>Balance-EOY-Total (Lines 9+10)</t>
  </si>
  <si>
    <t>ADIT-190</t>
  </si>
  <si>
    <t>Balance-BOY (Attach 4c, Line 18)</t>
  </si>
  <si>
    <t>Balance-EOY (Attach 4d, Line 18 less Line 14)</t>
  </si>
  <si>
    <t>Balance-EOY-Prorated (Attach 4b, Line 42)</t>
  </si>
  <si>
    <t>Balance-EOY-Total (Lines 17+18)</t>
  </si>
  <si>
    <t>Enter Attachment 4, Page 1, Line 28 for Projection</t>
  </si>
  <si>
    <t>Attachment 4b - Accumulated Deferred Income Taxes (ADIT) Proration Worksheet (Projection)</t>
  </si>
  <si>
    <t>Weighting for Projection</t>
  </si>
  <si>
    <t>Beginning Balance/
Monthly Increment</t>
  </si>
  <si>
    <t>Transmission Proration
(d) x (f)</t>
  </si>
  <si>
    <t>Plant Proration
(d) x (h)</t>
  </si>
  <si>
    <t>Labor Proration
(d) x (j)</t>
  </si>
  <si>
    <r>
      <t>ADIT-282-Proration-</t>
    </r>
    <r>
      <rPr>
        <b/>
        <sz val="10"/>
        <rFont val="Arial Narrow"/>
        <family val="2"/>
      </rPr>
      <t>Note A</t>
    </r>
  </si>
  <si>
    <t>Balance (Attach 4c, Line 30)</t>
  </si>
  <si>
    <t>Increment</t>
  </si>
  <si>
    <t>ADIT 282-Prorated EOY Balance</t>
  </si>
  <si>
    <r>
      <t>ADIT-283-Proration-</t>
    </r>
    <r>
      <rPr>
        <b/>
        <sz val="10"/>
        <rFont val="Arial Narrow"/>
        <family val="2"/>
      </rPr>
      <t>Note B</t>
    </r>
  </si>
  <si>
    <t>Balance (Attach 4c, Line 44)</t>
  </si>
  <si>
    <t>ADIT 283-Prorated EOY Balance</t>
  </si>
  <si>
    <r>
      <t>ADIT-190-Proration-</t>
    </r>
    <r>
      <rPr>
        <b/>
        <sz val="10"/>
        <rFont val="Arial Narrow"/>
        <family val="2"/>
      </rPr>
      <t>Note C</t>
    </r>
  </si>
  <si>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</si>
  <si>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</si>
  <si>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</si>
  <si>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</si>
  <si>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</si>
  <si>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</si>
  <si>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</si>
  <si>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</si>
  <si>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</si>
  <si>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</si>
  <si>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For the 12 Months Ended 12/31/____</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</si>
  <si>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</si>
  <si>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</si>
  <si>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</si>
  <si>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</si>
  <si>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</si>
  <si>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</si>
  <si>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</si>
  <si>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</si>
  <si>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</si>
  <si>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(Excess)/Deficient Deferred Income Taxes - Protected</t>
  </si>
  <si>
    <t>(Excess)/Deficient Deferred Income Taxes - Unprotected</t>
  </si>
  <si>
    <t>Plant related</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</si>
  <si>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</si>
  <si>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</si>
  <si>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</si>
  <si>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</si>
  <si>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</si>
  <si>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</si>
  <si>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</si>
  <si>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</si>
  <si>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</si>
  <si>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</si>
  <si>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</si>
  <si>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</si>
  <si>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</si>
  <si>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</si>
  <si>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</si>
  <si>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</si>
  <si>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</si>
  <si>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</si>
  <si>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</si>
  <si>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</si>
  <si>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</si>
  <si>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</si>
  <si>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Balance-EOY-Prorated (Attach 4f, Line 14)</t>
  </si>
  <si>
    <t>Enter as negative Attachment 4, Page 1, Line 28 for True-up</t>
  </si>
  <si>
    <t>Balance-EOY-Prorated (Attach 4f, Line 28)</t>
  </si>
  <si>
    <t>Balance-EOY-Prorated (Attach 4f, Line 42)</t>
  </si>
  <si>
    <t>Attachment 4f - Accumulated Deferred Income Taxes (ADIT) Proration Worksheet (True-up)</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</si>
  <si>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</si>
  <si>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</si>
  <si>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</si>
  <si>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</si>
  <si>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</si>
  <si>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</si>
  <si>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</si>
  <si>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</si>
  <si>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</si>
  <si>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Times New Roman"/>
        <family val="1"/>
      </rPr>
      <t>Note A</t>
    </r>
  </si>
  <si>
    <r>
      <t>ADIT-283-Proration-</t>
    </r>
    <r>
      <rPr>
        <b/>
        <sz val="10"/>
        <rFont val="Times New Roman"/>
        <family val="1"/>
      </rPr>
      <t>Note B</t>
    </r>
  </si>
  <si>
    <r>
      <t>ADIT-190-Proration-</t>
    </r>
    <r>
      <rPr>
        <b/>
        <sz val="10"/>
        <rFont val="Times New Roman"/>
        <family val="1"/>
      </rPr>
      <t>Note C</t>
    </r>
  </si>
  <si>
    <t>Attachment 4g</t>
  </si>
  <si>
    <t>(Excess)/Deficient ADIT Worksheet</t>
  </si>
  <si>
    <t>(A)</t>
  </si>
  <si>
    <t>(B)</t>
  </si>
  <si>
    <t>(C)</t>
  </si>
  <si>
    <t>(D)</t>
  </si>
  <si>
    <t>(E) = (C) + (D)</t>
  </si>
  <si>
    <t>(F)</t>
  </si>
  <si>
    <t>(G)</t>
  </si>
  <si>
    <t>(H)</t>
  </si>
  <si>
    <t>(I) 
= (C) / (F)</t>
  </si>
  <si>
    <t>(J) 
= (D) / (G)</t>
  </si>
  <si>
    <t>(K) = (I) + (J)</t>
  </si>
  <si>
    <t>(L)</t>
  </si>
  <si>
    <t>(M)</t>
  </si>
  <si>
    <t>(N) = (L) + (M)</t>
  </si>
  <si>
    <t>(O) 
= (I) * -1</t>
  </si>
  <si>
    <t>(P) 
= (J) * -1</t>
  </si>
  <si>
    <t>(Q) = (O) + (P)</t>
  </si>
  <si>
    <t>(R) 
= (L) + (O)</t>
  </si>
  <si>
    <t>(S) 
= (M) + (P)</t>
  </si>
  <si>
    <t>(T) = ( R) + (S)</t>
  </si>
  <si>
    <t>(U)</t>
  </si>
  <si>
    <r>
      <t>(Excess)/Deficient ADIT as originally recorded at remeasurement</t>
    </r>
    <r>
      <rPr>
        <sz val="10"/>
        <rFont val="Arial Narrow"/>
        <family val="2"/>
      </rPr>
      <t xml:space="preserve"> (d)</t>
    </r>
  </si>
  <si>
    <r>
      <t xml:space="preserve">Amortization Period </t>
    </r>
    <r>
      <rPr>
        <sz val="10"/>
        <rFont val="Arial Narrow"/>
        <family val="2"/>
      </rPr>
      <t>(years)</t>
    </r>
  </si>
  <si>
    <t>Current Year Amortization</t>
  </si>
  <si>
    <r>
      <t xml:space="preserve">Unamortized (Excess)/Deficient ADIT </t>
    </r>
    <r>
      <rPr>
        <sz val="10"/>
        <rFont val="Arial Narrow"/>
        <family val="2"/>
      </rPr>
      <t>(d)</t>
    </r>
  </si>
  <si>
    <t>(Excess)/Deficient Deferred Income Taxes</t>
  </si>
  <si>
    <t>Amortization Amount</t>
  </si>
  <si>
    <t>Beginning of Year Balance</t>
  </si>
  <si>
    <t>End of Year Balance</t>
  </si>
  <si>
    <t>Description</t>
  </si>
  <si>
    <r>
      <t xml:space="preserve"> FERC Account No. </t>
    </r>
    <r>
      <rPr>
        <sz val="10"/>
        <rFont val="Arial Narrow"/>
        <family val="2"/>
      </rPr>
      <t>(a)</t>
    </r>
  </si>
  <si>
    <t xml:space="preserve">Protected </t>
  </si>
  <si>
    <t xml:space="preserve">Unprotected </t>
  </si>
  <si>
    <t>Protected</t>
  </si>
  <si>
    <t>Unprotected</t>
  </si>
  <si>
    <r>
      <t xml:space="preserve"> FERC Account No. </t>
    </r>
    <r>
      <rPr>
        <sz val="10"/>
        <rFont val="Arial Narrow"/>
        <family val="2"/>
      </rPr>
      <t>(e)</t>
    </r>
  </si>
  <si>
    <r>
      <t xml:space="preserve">Protected 
</t>
    </r>
    <r>
      <rPr>
        <sz val="10"/>
        <rFont val="Arial Narrow"/>
        <family val="2"/>
      </rPr>
      <t>(f)</t>
    </r>
  </si>
  <si>
    <r>
      <t xml:space="preserve">Total 
</t>
    </r>
    <r>
      <rPr>
        <sz val="10"/>
        <rFont val="Arial Narrow"/>
        <family val="2"/>
      </rPr>
      <t>(g)</t>
    </r>
  </si>
  <si>
    <t>Reference</t>
  </si>
  <si>
    <t>FERC Account 190</t>
  </si>
  <si>
    <t>1a</t>
  </si>
  <si>
    <t>(2017 TCJA) Net Operating Loss</t>
  </si>
  <si>
    <t>ARAM (g)</t>
  </si>
  <si>
    <t>410.1</t>
  </si>
  <si>
    <t>1b</t>
  </si>
  <si>
    <t>(2018 Tax Rate Adjustment) Net Operating Loss</t>
  </si>
  <si>
    <t>1[]</t>
  </si>
  <si>
    <t>(b), []</t>
  </si>
  <si>
    <t>Total FERC Account 190</t>
  </si>
  <si>
    <t>FERC Account 282</t>
  </si>
  <si>
    <t>2a</t>
  </si>
  <si>
    <t>(2017 TCJA) Electric</t>
  </si>
  <si>
    <t>411.1</t>
  </si>
  <si>
    <t>2b</t>
  </si>
  <si>
    <t>(2018 Tax Rate Adjustment) Electric</t>
  </si>
  <si>
    <t>2[]</t>
  </si>
  <si>
    <t>Total FERC Account 282</t>
  </si>
  <si>
    <t>FERC Account 283</t>
  </si>
  <si>
    <t>(2017 TCJA) Prepaid Insurance</t>
  </si>
  <si>
    <t>1 (i)</t>
  </si>
  <si>
    <t>(2018 Tax Rate Adjustment) Prepaid Insurance</t>
  </si>
  <si>
    <t>3[]</t>
  </si>
  <si>
    <t>Total FERC Account 283</t>
  </si>
  <si>
    <r>
      <t xml:space="preserve">TOTAL </t>
    </r>
    <r>
      <rPr>
        <sz val="10"/>
        <rFont val="Arial Narrow"/>
        <family val="2"/>
      </rPr>
      <t>(Line 1 + Line 2 + Line 3)</t>
    </r>
  </si>
  <si>
    <t>Summary by Account</t>
  </si>
  <si>
    <t xml:space="preserve">Account Total </t>
  </si>
  <si>
    <t>Notes</t>
  </si>
  <si>
    <t>Specifies ADIT accounts to which (excess) or deficient ADIT has been booked.</t>
  </si>
  <si>
    <t xml:space="preserve">GridLiance High Plains LLC may add or modify notes to explain items listed under 1[], 2[] and 3[] without a FPA Section 205 filing. </t>
  </si>
  <si>
    <t xml:space="preserve">Total equals the sum of sublines a through [], where [] is the last subline denoted by a letter.  GridLiance High Plains may add or remove sublines without a FPA Section 205 filing. </t>
  </si>
  <si>
    <t>Enter credit balances as negatives.</t>
  </si>
  <si>
    <t>(Excess)/deficient ADIT to be amortized to FERC Account 411.1 or 410.1, respectively.</t>
  </si>
  <si>
    <r>
      <t>Amortization of excess (or deficient) deferred income taxes</t>
    </r>
    <r>
      <rPr>
        <sz val="10"/>
        <rFont val="Arial Narrow"/>
        <family val="2"/>
      </rPr>
      <t xml:space="preserve"> subject to ARAM</t>
    </r>
    <r>
      <rPr>
        <sz val="10"/>
        <color theme="1"/>
        <rFont val="Arial Narrow"/>
        <family val="2"/>
      </rPr>
      <t xml:space="preserve"> will not begin until reversal occurs (</t>
    </r>
    <r>
      <rPr>
        <i/>
        <sz val="10"/>
        <color theme="1"/>
        <rFont val="Arial Narrow"/>
        <family val="2"/>
      </rPr>
      <t>i.e.</t>
    </r>
    <r>
      <rPr>
        <sz val="10"/>
        <color theme="1"/>
        <rFont val="Arial Narrow"/>
        <family val="2"/>
      </rPr>
      <t xml:space="preserve">, when the trend of book depreciation exceeding tax depreciation—or vice versa—reverses).  Before reversal, values for such items will not be included in current year amortization. </t>
    </r>
  </si>
  <si>
    <t xml:space="preserve">In accordance with FERC guidance for ratemaking purposes, GridLiance High Plains LLC only grosses up the current year amortization value on Attachment H, Page 3/5, Line 40; there is no gross-up to any values for accounting purposes.   </t>
  </si>
  <si>
    <t>(2017 TCJA) Resulting from Federal Income Tax Rate Change per 2017 Tax Cuts and Jobs Act  with an original rate of 35 percent and a revised rate of 21 percent.</t>
  </si>
  <si>
    <t>Prepaid assets are expected to reverse within one year.</t>
  </si>
  <si>
    <t>(2018 Tax Rate Adjustment) Resolution of earlier order in docket ER15-2594 requiring GHP to include a fixed federal income tax rate component of 35 percent.</t>
  </si>
  <si>
    <t>Attachment 4h</t>
  </si>
  <si>
    <t xml:space="preserve">ADIT Remeasurement      </t>
  </si>
  <si>
    <t>Remeasurement due to tax rate lock in ER15-2594    Note (b)</t>
  </si>
  <si>
    <t>Balances as of December 31, 2018</t>
  </si>
  <si>
    <t>(E)</t>
  </si>
  <si>
    <t>(I)</t>
  </si>
  <si>
    <t>= (B) x (C)</t>
  </si>
  <si>
    <t>= (D) x Line 9</t>
  </si>
  <si>
    <t>= (E) - (F)</t>
  </si>
  <si>
    <t>Tax Effected Balances</t>
  </si>
  <si>
    <t>(Excess)/Deficient Deferred IT</t>
  </si>
  <si>
    <t>Pre-Tax Rate Change Balances</t>
  </si>
  <si>
    <t>Allocation
Note (a)</t>
  </si>
  <si>
    <t>Allocated Pre-Tax Rate Change Balances</t>
  </si>
  <si>
    <t>Pre- Tax Rate Change</t>
  </si>
  <si>
    <t>Post- Tax Rate Change</t>
  </si>
  <si>
    <t>Total ADIT (Line 1 + Line 2 + Line 3)</t>
  </si>
  <si>
    <t>Tax Rates</t>
  </si>
  <si>
    <t>Pre Tax Rate</t>
  </si>
  <si>
    <t xml:space="preserve">Post Tax Rate </t>
  </si>
  <si>
    <t>Federal</t>
  </si>
  <si>
    <t>State</t>
  </si>
  <si>
    <t>Combined Rate</t>
  </si>
  <si>
    <t>Federal (net of FBOS &amp; SBOF)</t>
  </si>
  <si>
    <t>Effective Tax Rate (net of tax exempt adjustment)</t>
  </si>
  <si>
    <t>Tax Exempt Ownership Percentage</t>
  </si>
  <si>
    <t>Gross-Up factor - net of TE [1 / (1-effective tax rate)]</t>
  </si>
  <si>
    <t>Federal Benefit of State Rates (FBOS)</t>
  </si>
  <si>
    <t>State Benefit of Federal Rate (SBOF)</t>
  </si>
  <si>
    <t>This sheet is replicable for each remeasurement of (excess)/deficient deferred income taxes without an FPA Section 205 filing.</t>
  </si>
  <si>
    <t xml:space="preserve">GridLiance High Plains LLC may add or modify notes to explain items without a FPA Section 205 filing. </t>
  </si>
  <si>
    <t>GridLiance High Plains LLC allocates total company ADIT between transmission and wholesale distribution based on net plant ratios.  The net plant ratio corresponding to the current year of remeasurement is used for all items listed here.</t>
  </si>
  <si>
    <t>In October 2017, the FERC issued an order in docket ER15-2594 requiring GHP to include a fixed income tax rate component of 35% in its wholesale distribution and transmission formula rate templates. In February 2019, the Commission issued an order reversing its previous directive requiring GHP to fix the income tax rate component in its formula rate templates and instead approved GHP’s request to remove the fixed income tax components from its formula rate to allow the tax rate to be updated annually and subject to true-up.  Therefore, remeasurement of (excess)/deficient deferred income taxes occured through December 31, 2018.</t>
  </si>
  <si>
    <t>Attachment 6</t>
  </si>
  <si>
    <t>True-Up Interest Rate</t>
  </si>
  <si>
    <t>Quarter (Note A)</t>
  </si>
  <si>
    <t>Interest rate for the Quarter pursuant to Section 35.19(a)</t>
  </si>
  <si>
    <t>1st Qtr</t>
  </si>
  <si>
    <t xml:space="preserve">2nd Qtr </t>
  </si>
  <si>
    <t xml:space="preserve">3rd Qtr </t>
  </si>
  <si>
    <t>4th Qtr</t>
  </si>
  <si>
    <t xml:space="preserve">1st Qtr </t>
  </si>
  <si>
    <t>Avg. Monthly FERC Rate</t>
  </si>
  <si>
    <t>Note A:</t>
  </si>
  <si>
    <t>Lines 1-7 are the FERC interest rate under section 35.19(a) of the regulations for the period shown.</t>
  </si>
  <si>
    <t>Line 8 is the average of lines 1-7.</t>
  </si>
  <si>
    <t>L</t>
  </si>
  <si>
    <t>Date Payments Received</t>
  </si>
  <si>
    <t>Rate (line 8)</t>
  </si>
  <si>
    <t>11a</t>
  </si>
  <si>
    <t>11b</t>
  </si>
  <si>
    <t>11c</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</si>
  <si>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</si>
  <si>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</si>
  <si>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</si>
  <si>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Attachment 7</t>
  </si>
  <si>
    <t>PBOPs</t>
  </si>
  <si>
    <t>Calculation of PBOP Expenses</t>
  </si>
  <si>
    <t>SCMCN</t>
  </si>
  <si>
    <t>Affiliate</t>
  </si>
  <si>
    <t>Total PBOP expenses (Note A)</t>
  </si>
  <si>
    <t>Labor dollars (total labor from budget)</t>
  </si>
  <si>
    <t>Cost per labor dollar (line2 / line3)</t>
  </si>
  <si>
    <t>labor expensed (labor not capitalized) by SCMCN in current year, 354.28.b.</t>
  </si>
  <si>
    <t>PBOP Expense for current year</t>
  </si>
  <si>
    <t xml:space="preserve">Lines 2-3 cannot change absent approval or acceptance by FERC in a separate proceeding. </t>
  </si>
  <si>
    <t>PBOP amount included in Company's O&amp;M and A&amp;G expenses included in FERC Account Nos. 500-935</t>
  </si>
  <si>
    <t xml:space="preserve">There will be zero PBOP expenses in the GridLiance High Plains rates until GridLiance High Plains files for recovery of its PBOP expenses.  Line 8 removes all GridLiance High Plains or affiliate BPOP expenses in FERC Accounts 500-935. </t>
  </si>
  <si>
    <t>Attachment 8</t>
  </si>
  <si>
    <t xml:space="preserve"> Financing Costs  for Long Term Debt using the Internal Rate of Return Methodology </t>
  </si>
  <si>
    <t>To be utilized until a project is placed in service</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</si>
  <si>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</si>
  <si>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</si>
  <si>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Table 1</t>
  </si>
  <si>
    <t xml:space="preserve">Total Loan Amount </t>
  </si>
  <si>
    <t>Table 2</t>
  </si>
  <si>
    <t>Internal Rate of Return (Note 1)</t>
  </si>
  <si>
    <r>
      <t>Based on following Financial Formula (Note 2)</t>
    </r>
    <r>
      <rPr>
        <b/>
        <sz val="10"/>
        <rFont val="Times New Roman"/>
        <family val="1"/>
      </rPr>
      <t>:</t>
    </r>
  </si>
  <si>
    <t xml:space="preserve">NPV = 0 = </t>
  </si>
  <si>
    <t>Table 3</t>
  </si>
  <si>
    <t>Origination Fees</t>
  </si>
  <si>
    <t>Rates/Fees</t>
  </si>
  <si>
    <t>Underwriting Discount</t>
  </si>
  <si>
    <t>Arrangement Fee</t>
  </si>
  <si>
    <t>Upfront Fee</t>
  </si>
  <si>
    <t>Rating Agency Fee</t>
  </si>
  <si>
    <t>Legal Fees</t>
  </si>
  <si>
    <t xml:space="preserve">   Total Issuance Expense</t>
  </si>
  <si>
    <t>Annual Rating Agency Fee</t>
  </si>
  <si>
    <t>Annual Bank Agency Fee</t>
  </si>
  <si>
    <t>Revolving Credit Commitment Fee</t>
  </si>
  <si>
    <t>21a</t>
  </si>
  <si>
    <t>Table 4</t>
  </si>
  <si>
    <t>LIBOR Rate</t>
  </si>
  <si>
    <t>Spread</t>
  </si>
  <si>
    <t>Interest Rate</t>
  </si>
  <si>
    <t>Table 5</t>
  </si>
  <si>
    <t>( C)</t>
  </si>
  <si>
    <t>Quarterly Construction Expenditures       ( $000's)</t>
  </si>
  <si>
    <t>Principle Drawn In Quarter ($000's)</t>
  </si>
  <si>
    <t>Principle Drawn To Date ($000's)</t>
  </si>
  <si>
    <t>Interest &amp; Principal Payments ($000's)</t>
  </si>
  <si>
    <t>Origination Fees ($000's)</t>
  </si>
  <si>
    <t>Commitment, Utilization &amp; Ratings Fees ($000's)</t>
  </si>
  <si>
    <t>Net Cash Flows ($000's)</t>
  </si>
  <si>
    <t>Estimated</t>
  </si>
  <si>
    <t>Cumulative Col. D</t>
  </si>
  <si>
    <t>Interest Rate from Line 25 (Note 3)</t>
  </si>
  <si>
    <t>Input in first Qtr of Loan</t>
  </si>
  <si>
    <t>Lines 17 - 21x</t>
  </si>
  <si>
    <t>(D-F-G-H)</t>
  </si>
  <si>
    <t>2.  The IRR is a discount rate that makes the net present value of a series of cash flows equal to zero.  The IRR equation is shown on line 6.</t>
  </si>
  <si>
    <t xml:space="preserve">   N is the last quarter the loan would be outstanding</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</si>
  <si>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</si>
  <si>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</si>
  <si>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</si>
  <si>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Excel ™ formula on line 2 is :  (round(XIRR(first quarter of loan Col A of Table 5:last quarter of loan Col A of Table 5, first quarter of loan Col I of Table 5: last quarter of loan Col I of Table 5, 8%),4)</t>
  </si>
  <si>
    <t xml:space="preserve">   The 8% in the above formula is a seed number to ensure the formula produces a positive number.</t>
  </si>
  <si>
    <t>3.  Line 1 reflects the loan amount, the maximum amount that can be drawn on</t>
  </si>
  <si>
    <t xml:space="preserve">4.  Lines 11-21a include the fees associated with the loan.  They are estimated based on current bank condition and are updated with the actual fees </t>
  </si>
  <si>
    <t xml:space="preserve">   once the actual fees are known.</t>
  </si>
  <si>
    <t xml:space="preserve">5.  The estimate of the average 3 month Libor forward rate for the year on line 23 is that published by Bloomberg Finance L.P. during August of the prior year and is trued-up to actual </t>
  </si>
  <si>
    <t xml:space="preserve">     average 3 month Libor rate for the year under the loan.  </t>
  </si>
  <si>
    <t xml:space="preserve">6.  Table 5, Col. C reflect the capital expenditures in each quarter </t>
  </si>
  <si>
    <t xml:space="preserve">7.  Table 5, Col. D reflect the amount of the loan that is drawn down in the quarter </t>
  </si>
  <si>
    <t>8.  Table 5, Col. E is the amount of principle drawn down</t>
  </si>
  <si>
    <t>9. Table 5, Col F calculates the interest on the principle drawn down to date based on the applicable interest on line 25</t>
  </si>
  <si>
    <t xml:space="preserve">10.  Table 5, Col. G is the total origination fees in line 16 and is input in the first quarter that a portion of the loan in drawn </t>
  </si>
  <si>
    <t>11.  Table 5, Col. H is calculated as follows:</t>
  </si>
  <si>
    <t>A x (line 21, Col. (b)/4) + sum of line 17, Col. (c) through line 21x, Col. (c)</t>
  </si>
  <si>
    <t>Where A =</t>
  </si>
  <si>
    <t>Loan amount in line 1 less the amount drawn down (Table 5, Col. (E)) in the prior quarter</t>
  </si>
  <si>
    <t xml:space="preserve">12.  The inputs shall be estimated based on the current market conditions and is subject to true up for all inputs , e.g., fees, interest rates, spread, and Table 3 once the </t>
  </si>
  <si>
    <t xml:space="preserve">  amounts are known</t>
  </si>
  <si>
    <t>13.  Prior to obtaining long term debt, the cost of debt, will be 1.99%.  If GridLiance High Plains obtains project financing, the long term debt rate will be determined using the methodology in Attachment 8 and Attachment 8 contains a hypothetical example of the internal rate of return methodology; the methodology will be applied to actual amounts for use in Attachment H.  Once there is $100 million in rate base, GridLiance High Plains will use the its actual cost of long term debt determined in Attachment 5.    The capital structure will be 60% equity and 40% debt during the construction period, after any asset is placed in service, it will be based on the actual capital structure.</t>
  </si>
  <si>
    <t>Attachment 9</t>
  </si>
  <si>
    <t>Page 1 of 3</t>
  </si>
  <si>
    <t>Hypothetical Example of Final True-Up of Interest Rates and Interest Calculations for the Construction Loan</t>
  </si>
  <si>
    <t>SUMMARY</t>
  </si>
  <si>
    <t>YEAR</t>
  </si>
  <si>
    <t>Cost of Debt Used in Determining the Actual Net Revenue Requirement in Attachment H, page 4, line 20</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</si>
  <si>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</si>
  <si>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</si>
  <si>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</si>
  <si>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</si>
  <si>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Refund/Surcharge Interest Rate Calculated on Attachment 6 for the Rate Year</t>
  </si>
  <si>
    <t>Total Amount of Construction Loan Related True-Up with Interest (Refund)/Owed (Total Amount of True-Up Adjustment below for the Rate Year)</t>
  </si>
  <si>
    <t xml:space="preserve"> $-   </t>
  </si>
  <si>
    <t>The Hypothetical Example:</t>
  </si>
  <si>
    <t>*  Assumes that the construction loan is retired on Sept 1, 2020</t>
  </si>
  <si>
    <t>**  Assumes permanent debt structure is put in place on Sept 1, 2020 with effective rate of 6.5%</t>
  </si>
  <si>
    <t xml:space="preserve"> Calculation of Applicable Interest Expense for each ATRR period </t>
  </si>
  <si>
    <t>Interest Rate on Amount of Refunds or Surcharges from 35.19a</t>
  </si>
  <si>
    <t>Over (Under) Recovery</t>
  </si>
  <si>
    <t>Hypothetical Monthly Interest Rate</t>
  </si>
  <si>
    <t>Months</t>
  </si>
  <si>
    <t xml:space="preserve"> Calculated Interest </t>
  </si>
  <si>
    <t>Amortization</t>
  </si>
  <si>
    <t>Surcharge (Refund) Owed</t>
  </si>
  <si>
    <t>From Column (g)</t>
  </si>
  <si>
    <t xml:space="preserve"> Column (f) above Divided by the</t>
  </si>
  <si>
    <t xml:space="preserve">Above for the </t>
  </si>
  <si>
    <t>Col (c) x Col (d) x</t>
  </si>
  <si>
    <t xml:space="preserve">   </t>
  </si>
  <si>
    <t>Number of Months the Rate was in Effect</t>
  </si>
  <si>
    <t>Rate Year</t>
  </si>
  <si>
    <t>Weighting</t>
  </si>
  <si>
    <t>Col (e) x -1</t>
  </si>
  <si>
    <t>Calculation of Interest for 2015 True-Up Period</t>
  </si>
  <si>
    <t>Monthly</t>
  </si>
  <si>
    <t>Year 2015</t>
  </si>
  <si>
    <t xml:space="preserve"> -   </t>
  </si>
  <si>
    <t xml:space="preserve"> Annual </t>
  </si>
  <si>
    <t>January  through December</t>
  </si>
  <si>
    <t>Year 2016</t>
  </si>
  <si>
    <t>Year 2017</t>
  </si>
  <si>
    <t>Year 2018</t>
  </si>
  <si>
    <t>Year 2019</t>
  </si>
  <si>
    <t>Year 2020</t>
  </si>
  <si>
    <t>Over (Under) Recovery Plus Interest Amortized and Recovered Over 12 Months</t>
  </si>
  <si>
    <t xml:space="preserve"> Monthly </t>
  </si>
  <si>
    <t>Year 2021</t>
  </si>
  <si>
    <t>Total Amount of True-Up Adjustment for 2015 ATRR</t>
  </si>
  <si>
    <t>(Sum lines 48-59, column f plus line 60, column l)</t>
  </si>
  <si>
    <t>Less Over (Under) Recovery</t>
  </si>
  <si>
    <t>(Line 1, Column f)</t>
  </si>
  <si>
    <t>Total Interest</t>
  </si>
  <si>
    <t>(Line 62 + line 63)</t>
  </si>
  <si>
    <t>Page 2 of 3</t>
  </si>
  <si>
    <t>Attachment 9 - Hypothetical Example of Final True-Up of Interest Rates and Interest Calculations for the Construction Loan</t>
  </si>
  <si>
    <t>South Central MCN LLC</t>
  </si>
  <si>
    <t>Calculation of Interest for 2016 True-Up Period</t>
  </si>
  <si>
    <t>Total Amount of True-Up Adjustment for 2016 ATRR</t>
  </si>
  <si>
    <t>(Sum lines 97-108, column f plus line 109, column l)</t>
  </si>
  <si>
    <t>(Line 2, Column f)</t>
  </si>
  <si>
    <t>(Line 111 + line 112)</t>
  </si>
  <si>
    <t>Calculation of Interest for 2017 True-Up Period</t>
  </si>
  <si>
    <t>Total Amount of True-Up Adjustment for 2017 ATRR</t>
  </si>
  <si>
    <t>(Sum lines 141 - 152, column f plus line 153, column l)</t>
  </si>
  <si>
    <t>(Line 3, Column f)</t>
  </si>
  <si>
    <t>(Line 155 + line 156)</t>
  </si>
  <si>
    <t>Page 3 of 3</t>
  </si>
  <si>
    <t>Calculation of Interest for 2018 True-Up Period</t>
  </si>
  <si>
    <t>Total Amount of True-Up Adjustment for 2018 ATRR</t>
  </si>
  <si>
    <t>(Sum lines 188 -199 column f plus line 200, column l)</t>
  </si>
  <si>
    <t>(Line 4, Column f)</t>
  </si>
  <si>
    <t>(Line 202 + line 203)</t>
  </si>
  <si>
    <t>Calculation of Interest for 2019 True-Up Period</t>
  </si>
  <si>
    <t>Total Amount of True-Up Adjustment for 2019 ATRR</t>
  </si>
  <si>
    <t>(Sum lines 230 - 241, column f plus line 242, column l)</t>
  </si>
  <si>
    <t>(Line 5, Column f)</t>
  </si>
  <si>
    <t>(Line 244 + line 245)</t>
  </si>
  <si>
    <t>Attachment 10</t>
  </si>
  <si>
    <t>Depreciation Rates</t>
  </si>
  <si>
    <t>FERC ACCOUNT</t>
  </si>
  <si>
    <t>DESCRIPTION</t>
  </si>
  <si>
    <t>RATE PERCENT</t>
  </si>
  <si>
    <t>TRANSMISSION</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</si>
  <si>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</si>
  <si>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</si>
  <si>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</si>
  <si>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</si>
  <si>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</si>
  <si>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</si>
  <si>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</si>
  <si>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</si>
  <si>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</si>
  <si>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</si>
  <si>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t>
  </si>
  <si>
    <t>Franchises and Consents (Note 1)</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</si>
  <si>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</si>
  <si>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</si>
  <si>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</si>
  <si>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</si>
  <si>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</si>
  <si>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</si>
  <si>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</si>
  <si>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</si>
  <si>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</si>
  <si>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</si>
  <si>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</si>
  <si>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</si>
  <si>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</si>
  <si>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t>
  </si>
  <si>
    <t xml:space="preserve">Electric Intangible Franchises and Transmission Land Rights are amortized </t>
  </si>
  <si>
    <t xml:space="preserve">   over the life of the franchise agreement or land right.</t>
  </si>
  <si>
    <t xml:space="preserve">Note 2: </t>
  </si>
  <si>
    <t xml:space="preserve">GridLiance High Plains depreciation and amortization rates may not be changed absent a section </t>
  </si>
  <si>
    <t>205 or 206 filing</t>
  </si>
  <si>
    <t>Page 1 of  2</t>
  </si>
  <si>
    <t>Attachment 13</t>
  </si>
  <si>
    <t>Income Tax Allowance</t>
  </si>
  <si>
    <t>Calculation of Effective Tax Rate</t>
  </si>
  <si>
    <t>(7)</t>
  </si>
  <si>
    <t>(8)</t>
  </si>
  <si>
    <t>(9)</t>
  </si>
  <si>
    <t>(10)</t>
  </si>
  <si>
    <t>(11)</t>
  </si>
  <si>
    <t>(12)</t>
  </si>
  <si>
    <t>(13)</t>
  </si>
  <si>
    <t>Corporations - Including C Corps</t>
  </si>
  <si>
    <t>S Corps, PTEs</t>
  </si>
  <si>
    <t>Individuals (including foreign), estates &amp; trusts</t>
  </si>
  <si>
    <t>Mutual funds</t>
  </si>
  <si>
    <t>Trusts</t>
  </si>
  <si>
    <t>UBTI entities - pension funds, IRA, Keogh Plans</t>
  </si>
  <si>
    <t>Tax Exempt Entities</t>
  </si>
  <si>
    <r>
      <t xml:space="preserve">Weighted Average Income Tax Rate 
</t>
    </r>
    <r>
      <rPr>
        <sz val="10"/>
        <color rgb="FF000000"/>
        <rFont val="Times New Roman"/>
        <family val="1"/>
      </rPr>
      <t>(Sum Cols. 5-11)</t>
    </r>
  </si>
  <si>
    <r>
      <t xml:space="preserve">Total 
</t>
    </r>
    <r>
      <rPr>
        <sz val="10"/>
        <color rgb="FF000000"/>
        <rFont val="Times New Roman"/>
        <family val="1"/>
      </rPr>
      <t>(Sum Cols. 5-11)</t>
    </r>
  </si>
  <si>
    <t>FIT = Weighted Marginal Federal Income Tax Rate</t>
  </si>
  <si>
    <t>Partners with Actual or Potential Income Tax Liability</t>
  </si>
  <si>
    <t>Note C</t>
  </si>
  <si>
    <t xml:space="preserve"> (Col. 13, Lines 25 - 31)</t>
  </si>
  <si>
    <t>Weighted Average Federal Income Tax Rate</t>
  </si>
  <si>
    <t>SIT = Weighted Marginal State Income Tax Rate</t>
  </si>
  <si>
    <t>Weighted Average State Income Tax Rate</t>
  </si>
  <si>
    <t>p = Weighted Average State Income Tax Rate Value of Federal Tax Deductibility</t>
  </si>
  <si>
    <t>(Page 2, Col. 56, Line 6 )</t>
  </si>
  <si>
    <t>Weighted Average X</t>
  </si>
  <si>
    <t>Projected Distributive Share of Income from Transmission Investment</t>
  </si>
  <si>
    <t xml:space="preserve"> (Col. 10, Lines 37 - 43)</t>
  </si>
  <si>
    <r>
      <rPr>
        <b/>
        <sz val="10"/>
        <color rgb="FF000000"/>
        <rFont val="Times New Roman"/>
        <family val="1"/>
      </rPr>
      <t>Income Tax Allowance</t>
    </r>
    <r>
      <rPr>
        <sz val="10"/>
        <color rgb="FF000000"/>
        <rFont val="Times New Roman"/>
        <family val="1"/>
      </rPr>
      <t xml:space="preserve"> (ITA)</t>
    </r>
  </si>
  <si>
    <t>Note D</t>
  </si>
  <si>
    <r>
      <rPr>
        <b/>
        <sz val="10"/>
        <color rgb="FF000000"/>
        <rFont val="Times New Roman"/>
        <family val="1"/>
      </rPr>
      <t>Composite Income Tax Rate</t>
    </r>
    <r>
      <rPr>
        <sz val="10"/>
        <color rgb="FF000000"/>
        <rFont val="Times New Roman"/>
        <family val="1"/>
      </rPr>
      <t xml:space="preserve"> [T=SIT * (1-FIT) + FIT - (p * FIT)]</t>
    </r>
  </si>
  <si>
    <t>Private Equity (PE) Investment Ownership of GridLiance High Plains LLC (GHP)</t>
  </si>
  <si>
    <t>Note F</t>
  </si>
  <si>
    <t>Ownership of Funds by FERC Categories of Investors</t>
  </si>
  <si>
    <t>BCP VI</t>
  </si>
  <si>
    <t>BEP II/II.F</t>
  </si>
  <si>
    <t>BCP VI SBS</t>
  </si>
  <si>
    <t>BEP II SBS</t>
  </si>
  <si>
    <t>BTAS</t>
  </si>
  <si>
    <t>Weighted Average PE Ownership of GHP by FERC Categories of Investors</t>
  </si>
  <si>
    <t>Weighted Average 
Private Equity Ownership</t>
  </si>
  <si>
    <t>Total Ownership</t>
  </si>
  <si>
    <t>Total Ownership Adjusted</t>
  </si>
  <si>
    <t>Corporations (feeder LP)</t>
  </si>
  <si>
    <t>Individuals</t>
  </si>
  <si>
    <t>Mutual Funds</t>
  </si>
  <si>
    <t>UBTI Entities</t>
  </si>
  <si>
    <t>Non-Taxpaying Entities</t>
  </si>
  <si>
    <t>Total Private Equity Ownership (Note E)</t>
  </si>
  <si>
    <t>Separate Individual Ownership (Note F)</t>
  </si>
  <si>
    <t xml:space="preserve">Represents the weighted average federal or state tax rate for each category of partners.  Support to be provided for the use of any marginal federal income tax rate that differs from any </t>
  </si>
  <si>
    <t>applicable presumptive marginal federal income tax rates that have been adopted by the Commission.</t>
  </si>
  <si>
    <t>From Page 2 below.</t>
  </si>
  <si>
    <t>Calculation of ownership by category of investor.</t>
  </si>
  <si>
    <t>Income Tax Allowance (ITA) equals one less the ownership percentage of tax exempt entities and is based upon the Commission's order in Docket Nos. ER18-2342, EL19-29, and ER19-2488.</t>
  </si>
  <si>
    <t>One (1) minus Separate Individual Ownership (Line 45).</t>
  </si>
  <si>
    <t>Based on GHP records.</t>
  </si>
  <si>
    <t>(6)</t>
  </si>
  <si>
    <r>
      <t xml:space="preserve">Apportionment </t>
    </r>
    <r>
      <rPr>
        <b/>
        <i/>
        <sz val="10"/>
        <color rgb="FF000000"/>
        <rFont val="Times New Roman"/>
        <family val="1"/>
      </rPr>
      <t xml:space="preserve">
</t>
    </r>
    <r>
      <rPr>
        <sz val="10"/>
        <color rgb="FF000000"/>
        <rFont val="Times New Roman"/>
        <family val="1"/>
      </rPr>
      <t>based on situs gross plant</t>
    </r>
  </si>
  <si>
    <t>State Income Tax Rate</t>
  </si>
  <si>
    <t>Percent Federal Taxes Deductible</t>
  </si>
  <si>
    <r>
      <t>Weighted Rate (</t>
    </r>
    <r>
      <rPr>
        <sz val="10"/>
        <color rgb="FF000000"/>
        <rFont val="Times New Roman"/>
        <family val="1"/>
      </rPr>
      <t>Col. 2 * Col. 3)</t>
    </r>
  </si>
  <si>
    <r>
      <t xml:space="preserve">Weighted Rate for Impact of Federal Tax Deductibility
</t>
    </r>
    <r>
      <rPr>
        <sz val="10"/>
        <color rgb="FF000000"/>
        <rFont val="Times New Roman"/>
        <family val="1"/>
      </rPr>
      <t>(Col. 2 * Col. 4)</t>
    </r>
  </si>
  <si>
    <t>Oklahoma</t>
  </si>
  <si>
    <t>State 2</t>
  </si>
  <si>
    <t>State 3</t>
  </si>
  <si>
    <t>State 4</t>
  </si>
  <si>
    <t>State 5</t>
  </si>
  <si>
    <t>Total Weighted Average</t>
  </si>
  <si>
    <t>Attachment 13a</t>
  </si>
  <si>
    <t>Actual ownership</t>
  </si>
  <si>
    <t>For Informational Purposes Only</t>
  </si>
  <si>
    <t>Upon request, GridLiance High Plains will provide any relevant ownership agreements to support the ownership categories and associated inputs used to calculate GridLiance High Plains's income tax liability</t>
  </si>
  <si>
    <t xml:space="preserve">Upon request, GridLiance High Plains will provide supporting documents, including tax returns or, where the federal income tax rate is concerned, notice that GridLiance High Plains elected to take the 20 percent deduction available to pass-through entities.  </t>
  </si>
  <si>
    <t>State 1</t>
  </si>
  <si>
    <t>For the 12 months ended 12/31/2021</t>
  </si>
  <si>
    <t>Costs in the Year Ending 12/31/2021</t>
  </si>
  <si>
    <t>For the 12 Months Ended 12/31/2021</t>
  </si>
  <si>
    <t>Projection for the 12 Months Ended 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</si>
</sst>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_);\(0\)"/>
    <numFmt numFmtId="167" formatCode="0.0%"/>
    <numFmt numFmtId="168" formatCode="#,##0.00000"/>
    <numFmt numFmtId="169" formatCode="0.000%"/>
    <numFmt numFmtId="170" formatCode="_(* #,##0.00000_);_(* \(#,##0.00000\);_(* &quot;-&quot;??_);_(@_)"/>
    <numFmt numFmtId="171" formatCode="0.00000"/>
    <numFmt numFmtId="172" formatCode="_(* #,##0.0000_);_(* \(#,##0.0000\);_(* &quot;-&quot;??_);_(@_)"/>
    <numFmt numFmtId="173" formatCode="#,##0.0000"/>
    <numFmt numFmtId="174" formatCode="_(&quot;$&quot;* #,##0_);_(&quot;$&quot;* \(#,##0\);_(&quot;$&quot;* &quot;-&quot;??_);_(@_)"/>
    <numFmt numFmtId="175" formatCode="_(* #,##0.0_);_(* \(#,##0.0\);_(* &quot;-&quot;??_);_(@_)"/>
    <numFmt numFmtId="176" formatCode="&quot;$&quot;#,##0"/>
    <numFmt numFmtId="177" formatCode="#,##0.000"/>
    <numFmt numFmtId="178" formatCode="&quot;$&quot;#,##0.000"/>
    <numFmt numFmtId="179" formatCode="0.0000"/>
    <numFmt numFmtId="180" formatCode="#,##0.0"/>
    <numFmt numFmtId="181" formatCode="_(* #,##0.0000000_);_(* \(#,##0.0000000\);_(* &quot;-&quot;??_);_(@_)"/>
    <numFmt numFmtId="182" formatCode="_(* #,##0.000000_);_(* \(#,##0.000000\);_(* &quot;-&quot;??_);_(@_)"/>
    <numFmt numFmtId="183" formatCode="_([$€-2]* #,##0.00_);_([$€-2]* \(#,##0.00\);_([$€-2]* &quot;-&quot;??_)"/>
    <numFmt numFmtId="184" formatCode="[$-409]mmmm\ d\,\ yyyy;@"/>
    <numFmt numFmtId="185" formatCode="0.00000%"/>
    <numFmt numFmtId="186" formatCode="_(* #,##0.00000_);_(* \(#,##0.00000\);_(* &quot;-&quot;?????_);_(@_)"/>
    <numFmt numFmtId="187" formatCode="0.0000%"/>
    <numFmt numFmtId="188" formatCode="&quot;$&quot;#,##0.0000"/>
    <numFmt numFmtId="189" formatCode="_(&quot;$&quot;* #,##0.0000_);_(&quot;$&quot;* \(#,##0.0000\);_(&quot;$&quot;* &quot;-&quot;??_);_(@_)"/>
    <numFmt numFmtId="190" formatCode="0.000000000000000%"/>
    <numFmt numFmtId="191" formatCode="0.00000000000000%"/>
    <numFmt numFmtId="192" formatCode="0.000000000000%"/>
  </numFmts>
  <fonts count="68">
    <font>
      <sz val="11"/>
      <color theme="1"/>
      <name val="Calibri"/>
      <family val="2"/>
      <scheme val="minor"/>
    </font>
    <font>
      <sz val="10"/>
      <color theme="1"/>
      <name val="Arial"/>
      <family val="2"/>
    </font>
    <font>
      <sz val="12"/>
      <name val="Arial MT"/>
      <family val="2"/>
    </font>
    <font>
      <sz val="10"/>
      <name val="Times New Roman"/>
      <family val="1"/>
    </font>
    <font>
      <sz val="10"/>
      <name val="Arial"/>
      <family val="2"/>
    </font>
    <font>
      <sz val="10"/>
      <color rgb="FF0000FF"/>
      <name val="Times New Roman"/>
      <family val="1"/>
    </font>
    <font>
      <b/>
      <sz val="10"/>
      <name val="Times New Roman"/>
      <family val="1"/>
    </font>
    <font>
      <sz val="10"/>
      <color indexed="40"/>
      <name val="Times New Roman"/>
      <family val="1"/>
    </font>
    <font>
      <sz val="12"/>
      <name val="Arial"/>
      <family val="2"/>
    </font>
    <font>
      <sz val="10"/>
      <color rgb="FFFF0000"/>
      <name val="Times New Roman"/>
      <family val="1"/>
    </font>
    <font>
      <sz val="12"/>
      <color rgb="FFFF0000"/>
      <name val="Arial MT"/>
      <family val="2"/>
    </font>
    <font>
      <vertAlign val="superscript"/>
      <sz val="10"/>
      <color theme="1"/>
      <name val="Times New Roman"/>
      <family val="1"/>
    </font>
    <font>
      <sz val="10"/>
      <name val="Arial Narrow"/>
      <family val="2"/>
    </font>
    <font>
      <vertAlign val="superscript"/>
      <sz val="10"/>
      <name val="Times New Roman"/>
      <family val="1"/>
    </font>
    <font>
      <sz val="10"/>
      <color indexed="17"/>
      <name val="Times New Roman"/>
      <family val="1"/>
    </font>
    <font>
      <b/>
      <u val="single"/>
      <sz val="10"/>
      <name val="Times New Roman"/>
      <family val="1"/>
    </font>
    <font>
      <sz val="10"/>
      <color indexed="8"/>
      <name val="Times New Roman"/>
      <family val="1"/>
    </font>
    <font>
      <sz val="10"/>
      <color indexed="10"/>
      <name val="Times New Roman"/>
      <family val="1"/>
    </font>
    <font>
      <strike/>
      <sz val="10"/>
      <name val="Times New Roman"/>
      <family val="1"/>
    </font>
    <font>
      <b/>
      <i/>
      <strike/>
      <sz val="10"/>
      <name val="Times New Roman"/>
      <family val="1"/>
    </font>
    <font>
      <sz val="12"/>
      <name val="Times New Roman"/>
      <family val="1"/>
    </font>
    <font>
      <strike/>
      <sz val="10"/>
      <color indexed="10"/>
      <name val="Times New Roman"/>
      <family val="1"/>
    </font>
    <font>
      <sz val="11"/>
      <name val="Calibri"/>
      <family val="2"/>
    </font>
    <font>
      <strike/>
      <sz val="10"/>
      <color indexed="12"/>
      <name val="Times New Roman"/>
      <family val="1"/>
    </font>
    <font>
      <strike/>
      <sz val="10"/>
      <color rgb="FFFF0000"/>
      <name val="Times New Roman"/>
      <family val="1"/>
    </font>
    <font>
      <b/>
      <sz val="10"/>
      <name val="Arial Narrow"/>
      <family val="2"/>
    </font>
    <font>
      <sz val="10"/>
      <color rgb="FFFF0000"/>
      <name val="Arial Narrow"/>
      <family val="2"/>
    </font>
    <font>
      <sz val="10"/>
      <color theme="1"/>
      <name val="Arial Narrow"/>
      <family val="2"/>
    </font>
    <font>
      <b/>
      <u val="singleAccounting"/>
      <sz val="10"/>
      <name val="Arial Narrow"/>
      <family val="2"/>
    </font>
    <font>
      <b/>
      <sz val="10"/>
      <color theme="1"/>
      <name val="Arial Narrow"/>
      <family val="2"/>
    </font>
    <font>
      <u val="single"/>
      <sz val="10"/>
      <name val="Arial Narrow"/>
      <family val="2"/>
    </font>
    <font>
      <b/>
      <u val="single"/>
      <sz val="10"/>
      <name val="Arial Narrow"/>
      <family val="2"/>
    </font>
    <font>
      <i/>
      <sz val="10"/>
      <name val="Arial Narrow"/>
      <family val="2"/>
    </font>
    <font>
      <u val="single"/>
      <sz val="10"/>
      <color theme="1"/>
      <name val="Arial Narrow"/>
      <family val="2"/>
    </font>
    <font>
      <sz val="10"/>
      <color theme="1"/>
      <name val="Times New Roman"/>
      <family val="1"/>
    </font>
    <font>
      <u val="doubleAccounting"/>
      <sz val="10"/>
      <name val="Arial Narrow"/>
      <family val="2"/>
    </font>
    <font>
      <sz val="12"/>
      <name val="Arial Narrow"/>
      <family val="2"/>
    </font>
    <font>
      <i/>
      <sz val="10"/>
      <color theme="1"/>
      <name val="Arial Narrow"/>
      <family val="2"/>
    </font>
    <font>
      <b/>
      <sz val="11"/>
      <color theme="1"/>
      <name val="Arial Narrow"/>
      <family val="2"/>
    </font>
    <font>
      <b/>
      <sz val="11"/>
      <color rgb="FF0000FF"/>
      <name val="Arial Narrow"/>
      <family val="2"/>
    </font>
    <font>
      <sz val="11"/>
      <color theme="1"/>
      <name val="Arial Narrow"/>
      <family val="2"/>
    </font>
    <font>
      <sz val="11"/>
      <name val="Calibri"/>
      <family val="2"/>
      <scheme val="minor"/>
    </font>
    <font>
      <sz val="11"/>
      <name val="Arial Narrow"/>
      <family val="2"/>
    </font>
    <font>
      <u val="singleAccounting"/>
      <sz val="11"/>
      <color theme="1"/>
      <name val="Arial Narrow"/>
      <family val="2"/>
    </font>
    <font>
      <b/>
      <u val="singleAccounting"/>
      <sz val="11"/>
      <color theme="1"/>
      <name val="Arial Narrow"/>
      <family val="2"/>
    </font>
    <font>
      <b/>
      <u val="single"/>
      <sz val="11"/>
      <color theme="1"/>
      <name val="Arial Narrow"/>
      <family val="2"/>
    </font>
    <font>
      <u val="single"/>
      <sz val="11"/>
      <color theme="1"/>
      <name val="Arial Narrow"/>
      <family val="2"/>
    </font>
    <font>
      <u val="single"/>
      <sz val="11"/>
      <name val="Arial Narrow"/>
      <family val="2"/>
    </font>
    <font>
      <u val="single"/>
      <sz val="12"/>
      <name val="Arial"/>
      <family val="2"/>
    </font>
    <font>
      <b/>
      <sz val="12"/>
      <name val="Arial"/>
      <family val="2"/>
    </font>
    <font>
      <sz val="12"/>
      <color indexed="10"/>
      <name val="Arial MT"/>
      <family val="2"/>
    </font>
    <font>
      <b/>
      <u val="single"/>
      <sz val="10"/>
      <name val="Arial"/>
      <family val="2"/>
    </font>
    <font>
      <b/>
      <sz val="11"/>
      <name val="Arial"/>
      <family val="2"/>
    </font>
    <font>
      <sz val="11"/>
      <name val="Times New Roman"/>
      <family val="1"/>
    </font>
    <font>
      <b/>
      <sz val="10"/>
      <name val="Arial"/>
      <family val="2"/>
    </font>
    <font>
      <b/>
      <sz val="10"/>
      <color indexed="12"/>
      <name val="Times New Roman"/>
      <family val="1"/>
    </font>
    <font>
      <sz val="10"/>
      <color indexed="56"/>
      <name val="Times New Roman"/>
      <family val="1"/>
    </font>
    <font>
      <b/>
      <i/>
      <sz val="10"/>
      <name val="Times New Roman"/>
      <family val="1"/>
    </font>
    <font>
      <b/>
      <i/>
      <sz val="10"/>
      <color indexed="10"/>
      <name val="Times New Roman"/>
      <family val="1"/>
    </font>
    <font>
      <u val="singleAccounting"/>
      <sz val="10"/>
      <name val="Times New Roman"/>
      <family val="1"/>
    </font>
    <font>
      <sz val="9"/>
      <name val="Helv"/>
      <family val="2"/>
    </font>
    <font>
      <u val="single"/>
      <sz val="11"/>
      <name val="Garamond"/>
      <family val="1"/>
    </font>
    <font>
      <sz val="11"/>
      <name val="Garamond"/>
      <family val="1"/>
    </font>
    <font>
      <b/>
      <sz val="11"/>
      <name val="Garamond"/>
      <family val="1"/>
    </font>
    <font>
      <b/>
      <sz val="10"/>
      <color rgb="FF000000"/>
      <name val="Times New Roman"/>
      <family val="1"/>
    </font>
    <font>
      <sz val="10"/>
      <color rgb="FF000000"/>
      <name val="Times New Roman"/>
      <family val="1"/>
    </font>
    <font>
      <b/>
      <sz val="10"/>
      <color indexed="8"/>
      <name val="Times New Roman"/>
      <family val="1"/>
    </font>
    <font>
      <b/>
      <i/>
      <sz val="10"/>
      <color rgb="FF000000"/>
      <name val="Times New Roman"/>
      <family val="1"/>
    </font>
  </fonts>
  <fills count="11">
    <fill>
      <patternFill patternType="none"/>
    </fill>
    <fill>
      <patternFill patternType="gray125"/>
    </fill>
    <fill>
      <patternFill patternType="solid">
        <fgColor rgb="FFFFFF99"/>
        <bgColor indexed="64"/>
      </patternFill>
    </fill>
    <fill>
      <patternFill patternType="solid">
        <fgColor theme="5" tint="0.599990010261536"/>
        <bgColor indexed="64"/>
      </patternFill>
    </fill>
    <fill>
      <patternFill patternType="solid">
        <fgColor indexed="43"/>
        <bgColor indexed="64"/>
      </patternFill>
    </fill>
    <fill>
      <patternFill patternType="solid">
        <fgColor rgb="FFFF00FF"/>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indexed="42"/>
        <bgColor indexed="64"/>
      </patternFill>
    </fill>
    <fill>
      <patternFill patternType="solid">
        <fgColor rgb="FFFFC000"/>
        <bgColor indexed="64"/>
      </patternFill>
    </fill>
  </fills>
  <borders count="45">
    <border>
      <left/>
      <right/>
      <top/>
      <bottom/>
      <diagonal/>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top/>
      <bottom style="double">
        <color auto="1"/>
      </bottom>
    </border>
    <border>
      <left/>
      <right/>
      <top style="thin">
        <color auto="1"/>
      </top>
      <bottom style="double">
        <color auto="1"/>
      </bottom>
    </border>
    <border>
      <left/>
      <right/>
      <top/>
      <bottom style="thin">
        <color auto="1"/>
      </bottom>
    </border>
    <border>
      <left style="thin">
        <color auto="1"/>
      </left>
      <right/>
      <top style="thin">
        <color auto="1"/>
      </top>
      <bottom/>
    </border>
    <border>
      <left style="thin">
        <color auto="1"/>
      </left>
      <right style="thin">
        <color auto="1"/>
      </right>
      <top style="thin">
        <color auto="1"/>
      </top>
      <bottom/>
    </border>
    <border>
      <left/>
      <right/>
      <top style="thin">
        <color auto="1"/>
      </top>
      <bottom/>
    </border>
    <border>
      <left/>
      <right style="thin">
        <color auto="1"/>
      </right>
      <top style="thin">
        <color auto="1"/>
      </top>
      <bottom/>
    </border>
    <border>
      <left style="thin">
        <color auto="1"/>
      </left>
      <right/>
      <top/>
      <bottom style="thin">
        <color auto="1"/>
      </bottom>
    </border>
    <border>
      <left style="thin">
        <color auto="1"/>
      </left>
      <right style="thin">
        <color auto="1"/>
      </right>
      <top/>
      <bottom style="thin">
        <color auto="1"/>
      </bottom>
    </border>
    <border>
      <left/>
      <right style="thin">
        <color auto="1"/>
      </right>
      <top/>
      <bottom style="thin">
        <color auto="1"/>
      </bottom>
    </border>
    <border>
      <left style="thin">
        <color auto="1"/>
      </left>
      <right/>
      <top/>
      <bottom/>
    </border>
    <border>
      <left style="thin">
        <color auto="1"/>
      </left>
      <right style="thin">
        <color auto="1"/>
      </right>
      <top/>
      <bottom/>
    </border>
    <border>
      <left style="thin">
        <color auto="1"/>
      </left>
      <right style="thin">
        <color auto="1"/>
      </right>
      <top style="thin">
        <color auto="1"/>
      </top>
      <bottom style="thin">
        <color auto="1"/>
      </bottom>
    </border>
    <border>
      <left/>
      <right style="thin">
        <color auto="1"/>
      </right>
      <top/>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top/>
      <bottom style="thin">
        <color auto="1"/>
      </bottom>
    </border>
    <border>
      <left/>
      <right style="medium">
        <color auto="1"/>
      </right>
      <top/>
      <bottom style="thin">
        <color auto="1"/>
      </bottom>
    </border>
    <border>
      <left style="thin">
        <color auto="1"/>
      </left>
      <right/>
      <top style="thin">
        <color auto="1"/>
      </top>
      <bottom style="thin">
        <color auto="1"/>
      </bottom>
    </border>
    <border>
      <left/>
      <right/>
      <top style="thin">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top style="thin">
        <color auto="1"/>
      </top>
      <bottom style="thin">
        <color auto="1"/>
      </bottom>
    </border>
    <border>
      <left style="medium">
        <color auto="1"/>
      </left>
      <right style="thin">
        <color auto="1"/>
      </right>
      <top/>
      <bottom style="thin">
        <color auto="1"/>
      </bottom>
    </border>
    <border>
      <left style="medium">
        <color auto="1"/>
      </left>
      <right style="thin">
        <color auto="1"/>
      </right>
      <top/>
      <bottom/>
    </border>
    <border>
      <left style="thin">
        <color auto="1"/>
      </left>
      <right style="medium">
        <color auto="1"/>
      </right>
      <top style="thin">
        <color auto="1"/>
      </top>
      <bottom/>
    </border>
    <border>
      <left style="medium">
        <color auto="1"/>
      </left>
      <right/>
      <top style="thin">
        <color auto="1"/>
      </top>
      <bottom style="double">
        <color auto="1"/>
      </bottom>
    </border>
    <border>
      <left style="thin">
        <color auto="1"/>
      </left>
      <right style="thin">
        <color auto="1"/>
      </right>
      <top style="thin">
        <color auto="1"/>
      </top>
      <bottom style="double">
        <color auto="1"/>
      </bottom>
    </border>
    <border>
      <left style="thin">
        <color auto="1"/>
      </left>
      <right style="medium">
        <color auto="1"/>
      </right>
      <top style="thin">
        <color auto="1"/>
      </top>
      <bottom style="double">
        <color auto="1"/>
      </bottom>
    </border>
    <border>
      <left style="medium">
        <color auto="1"/>
      </left>
      <right style="thin">
        <color auto="1"/>
      </right>
      <top style="thin">
        <color auto="1"/>
      </top>
      <bottom/>
    </border>
    <border>
      <left style="medium">
        <color auto="1"/>
      </left>
      <right/>
      <top style="thin">
        <color auto="1"/>
      </top>
      <bottom/>
    </border>
    <border>
      <left/>
      <right style="thin">
        <color auto="1"/>
      </right>
      <top style="thin">
        <color auto="1"/>
      </top>
      <bottom style="thin">
        <color auto="1"/>
      </bottom>
    </border>
    <border>
      <left/>
      <right style="medium">
        <color auto="1"/>
      </right>
      <top/>
      <bottom style="double">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s>
  <cellStyleXfs count="5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2" fontId="1" fillId="0" borderId="0" applyFont="0" applyFill="0" applyBorder="0" applyAlignment="0" applyProtection="0"/>
    <xf numFmtId="43" fontId="4" fillId="0" borderId="0" applyFont="0" applyFill="0" applyBorder="0" applyAlignment="0" applyProtection="0"/>
    <xf numFmtId="41" fontId="1" fillId="0" borderId="0" applyFont="0" applyFill="0" applyBorder="0" applyAlignment="0" applyProtection="0"/>
    <xf numFmtId="164" fontId="2" fillId="0" borderId="0" applyProtection="0">
      <alignment/>
    </xf>
    <xf numFmtId="0" fontId="2" fillId="0" borderId="0" applyProtection="0">
      <alignment/>
    </xf>
    <xf numFmtId="164" fontId="2" fillId="0" borderId="0" applyProtection="0">
      <alignment/>
    </xf>
    <xf numFmtId="0" fontId="4" fillId="0" borderId="0">
      <alignment/>
      <protection/>
    </xf>
    <xf numFmtId="0" fontId="4" fillId="0" borderId="0">
      <alignment/>
      <protection/>
    </xf>
    <xf numFmtId="0" fontId="4" fillId="0" borderId="0">
      <alignment/>
      <protection/>
    </xf>
    <xf numFmtId="0" fontId="4" fillId="0" borderId="0">
      <alignment/>
      <protection/>
    </xf>
    <xf numFmtId="164" fontId="2" fillId="0" borderId="0" applyProtection="0">
      <alignment/>
    </xf>
    <xf numFmtId="0" fontId="4" fillId="0" borderId="0">
      <alignment/>
      <protection/>
    </xf>
    <xf numFmtId="164" fontId="2" fillId="0" borderId="0" applyProtection="0">
      <alignment/>
    </xf>
    <xf numFmtId="164" fontId="2" fillId="0" borderId="0" applyProtection="0">
      <alignment/>
    </xf>
    <xf numFmtId="0" fontId="4" fillId="0" borderId="0">
      <alignment/>
      <protection/>
    </xf>
    <xf numFmtId="41" fontId="4" fillId="0" borderId="0" applyFont="0" applyFill="0" applyBorder="0" applyAlignment="0" applyProtection="0"/>
    <xf numFmtId="0" fontId="4" fillId="0" borderId="0">
      <alignment/>
      <protection/>
    </xf>
    <xf numFmtId="0" fontId="0" fillId="0" borderId="0">
      <alignment/>
      <protection/>
    </xf>
    <xf numFmtId="183" fontId="3" fillId="0" borderId="0">
      <alignment/>
      <protection/>
    </xf>
    <xf numFmtId="43" fontId="3" fillId="0" borderId="0" applyFont="0" applyFill="0" applyBorder="0" applyAlignment="0" applyProtection="0"/>
    <xf numFmtId="0" fontId="4" fillId="0" borderId="0">
      <alignment/>
      <protection/>
    </xf>
    <xf numFmtId="0" fontId="8" fillId="0" borderId="0">
      <alignment/>
      <protection/>
    </xf>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0" fontId="53" fillId="0" borderId="0">
      <alignment/>
      <protection/>
    </xf>
    <xf numFmtId="0" fontId="0" fillId="0" borderId="0">
      <alignment/>
      <protection/>
    </xf>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7" fontId="60" fillId="0" borderId="0">
      <alignment/>
      <protection/>
    </xf>
    <xf numFmtId="9" fontId="4" fillId="0" borderId="0" applyFont="0" applyFill="0" applyBorder="0" applyAlignment="0" applyProtection="0"/>
    <xf numFmtId="164" fontId="2" fillId="0" borderId="0" applyProtection="0">
      <alignment/>
    </xf>
    <xf numFmtId="164" fontId="2" fillId="0" borderId="0" applyProtection="0">
      <alignment/>
    </xf>
    <xf numFmtId="164" fontId="2" fillId="0" borderId="0" applyProtection="0">
      <alignment/>
    </xf>
    <xf numFmtId="164" fontId="2" fillId="0" borderId="0" applyProtection="0">
      <alignment/>
    </xf>
  </cellStyleXfs>
  <cellXfs count="1107">
    <xf numFmtId="0" fontId="0" fillId="0" borderId="0" xfId="0"/>
    <xf numFmtId="164" fontId="3" fillId="0" borderId="0" xfId="20" applyFont="1">
      <alignment/>
    </xf>
    <xf numFmtId="164" fontId="2" fillId="0" borderId="0" xfId="20">
      <alignment/>
    </xf>
    <xf numFmtId="165" fontId="0" fillId="0" borderId="0" xfId="18" applyNumberFormat="1" applyFont="1"/>
    <xf numFmtId="164" fontId="3" fillId="0" borderId="0" xfId="20" applyFont="1" applyAlignment="1">
      <alignment horizontal="center"/>
    </xf>
    <xf numFmtId="165" fontId="3" fillId="0" borderId="0" xfId="18" applyNumberFormat="1" applyFont="1"/>
    <xf numFmtId="0" fontId="3" fillId="0" borderId="0" xfId="20" applyNumberFormat="1" applyFont="1" applyAlignment="1" applyProtection="1">
      <alignment horizontal="center"/>
      <protection locked="0"/>
    </xf>
    <xf numFmtId="166" fontId="6" fillId="0" borderId="0" xfId="20" applyNumberFormat="1" applyFont="1" applyAlignment="1">
      <alignment horizontal="center"/>
    </xf>
    <xf numFmtId="164" fontId="6" fillId="0" borderId="1" xfId="20" applyFont="1" applyBorder="1" applyAlignment="1">
      <alignment horizontal="center" wrapText="1"/>
    </xf>
    <xf numFmtId="164" fontId="6" fillId="0" borderId="2" xfId="20" applyFont="1" applyBorder="1">
      <alignment/>
    </xf>
    <xf numFmtId="0" fontId="6" fillId="0" borderId="2" xfId="20" applyNumberFormat="1" applyFont="1" applyBorder="1" applyAlignment="1">
      <alignment horizontal="center" wrapText="1"/>
    </xf>
    <xf numFmtId="164" fontId="3" fillId="0" borderId="2" xfId="20" applyFont="1" applyBorder="1">
      <alignment/>
    </xf>
    <xf numFmtId="164" fontId="6" fillId="0" borderId="2" xfId="20" applyFont="1" applyBorder="1" applyAlignment="1">
      <alignment horizontal="center" wrapText="1"/>
    </xf>
    <xf numFmtId="3" fontId="6" fillId="0" borderId="2" xfId="20" applyNumberFormat="1" applyFont="1" applyBorder="1" applyAlignment="1">
      <alignment horizontal="center" wrapText="1"/>
    </xf>
    <xf numFmtId="3" fontId="6" fillId="0" borderId="3" xfId="20" applyNumberFormat="1" applyFont="1" applyBorder="1" applyAlignment="1">
      <alignment horizontal="center" wrapText="1"/>
    </xf>
    <xf numFmtId="3" fontId="6" fillId="0" borderId="0" xfId="20" applyNumberFormat="1" applyFont="1" applyAlignment="1">
      <alignment horizontal="center" wrapText="1"/>
    </xf>
    <xf numFmtId="164" fontId="3" fillId="0" borderId="1" xfId="20" applyFont="1" applyBorder="1" applyAlignment="1">
      <alignment horizontal="center"/>
    </xf>
    <xf numFmtId="164" fontId="3" fillId="2" borderId="2" xfId="20" applyFont="1" applyFill="1" applyBorder="1">
      <alignment/>
    </xf>
    <xf numFmtId="165" fontId="3" fillId="2" borderId="2" xfId="18" applyNumberFormat="1" applyFont="1" applyFill="1" applyBorder="1"/>
    <xf numFmtId="165" fontId="3" fillId="0" borderId="2" xfId="18" applyNumberFormat="1" applyFont="1" applyBorder="1"/>
    <xf numFmtId="43" fontId="3" fillId="0" borderId="2" xfId="18" applyFont="1" applyBorder="1"/>
    <xf numFmtId="43" fontId="3" fillId="2" borderId="2" xfId="18" applyFont="1" applyFill="1" applyBorder="1"/>
    <xf numFmtId="165" fontId="3" fillId="0" borderId="3" xfId="18" applyNumberFormat="1" applyFont="1" applyBorder="1"/>
    <xf numFmtId="164" fontId="3" fillId="0" borderId="4" xfId="20" applyFont="1" applyBorder="1" applyAlignment="1">
      <alignment horizontal="center"/>
    </xf>
    <xf numFmtId="164" fontId="3" fillId="2" borderId="0" xfId="20" applyFont="1" applyFill="1">
      <alignment/>
    </xf>
    <xf numFmtId="43" fontId="3" fillId="0" borderId="0" xfId="18" applyFont="1"/>
    <xf numFmtId="43" fontId="3" fillId="2" borderId="0" xfId="18" applyFont="1" applyFill="1"/>
    <xf numFmtId="165" fontId="3" fillId="0" borderId="5" xfId="18" applyNumberFormat="1" applyFont="1" applyBorder="1"/>
    <xf numFmtId="164" fontId="3" fillId="3" borderId="0" xfId="20" applyFont="1" applyFill="1">
      <alignment/>
    </xf>
    <xf numFmtId="164" fontId="3" fillId="0" borderId="6" xfId="20" applyFont="1" applyBorder="1" applyAlignment="1">
      <alignment horizontal="center"/>
    </xf>
    <xf numFmtId="164" fontId="3" fillId="0" borderId="7" xfId="20" applyFont="1" applyBorder="1">
      <alignment/>
    </xf>
    <xf numFmtId="164" fontId="3" fillId="2" borderId="7" xfId="20" applyFont="1" applyFill="1" applyBorder="1">
      <alignment/>
    </xf>
    <xf numFmtId="43" fontId="3" fillId="0" borderId="7" xfId="18" applyFont="1" applyBorder="1"/>
    <xf numFmtId="43" fontId="3" fillId="2" borderId="7" xfId="18" applyFont="1" applyFill="1" applyBorder="1"/>
    <xf numFmtId="165" fontId="3" fillId="0" borderId="8" xfId="18" applyNumberFormat="1" applyFont="1" applyBorder="1"/>
    <xf numFmtId="165" fontId="3" fillId="0" borderId="0" xfId="18" applyNumberFormat="1" applyFont="1" applyFill="1" applyBorder="1"/>
    <xf numFmtId="164" fontId="3" fillId="0" borderId="0" xfId="22" applyFont="1">
      <alignment/>
    </xf>
    <xf numFmtId="0" fontId="3" fillId="0" borderId="0" xfId="22" applyNumberFormat="1" applyFont="1" applyAlignment="1">
      <alignment horizontal="center"/>
    </xf>
    <xf numFmtId="3" fontId="3" fillId="0" borderId="0" xfId="22" applyNumberFormat="1" applyFont="1">
      <alignment/>
    </xf>
    <xf numFmtId="49" fontId="3" fillId="0" borderId="0" xfId="22" applyNumberFormat="1" applyFont="1" applyAlignment="1">
      <alignment horizontal="center"/>
    </xf>
    <xf numFmtId="0" fontId="3" fillId="0" borderId="0" xfId="22" applyNumberFormat="1" applyFont="1">
      <alignment/>
    </xf>
    <xf numFmtId="3" fontId="6" fillId="0" borderId="0" xfId="22" applyNumberFormat="1" applyFont="1" applyAlignment="1">
      <alignment horizontal="center"/>
    </xf>
    <xf numFmtId="0" fontId="6" fillId="0" borderId="0" xfId="22" applyNumberFormat="1" applyFont="1" applyAlignment="1" applyProtection="1">
      <alignment horizontal="center"/>
      <protection locked="0"/>
    </xf>
    <xf numFmtId="0" fontId="3" fillId="0" borderId="0" xfId="22" applyNumberFormat="1" applyFont="1" applyAlignment="1" applyProtection="1">
      <alignment horizontal="center"/>
      <protection locked="0"/>
    </xf>
    <xf numFmtId="164" fontId="6" fillId="0" borderId="0" xfId="22" applyFont="1" applyAlignment="1">
      <alignment horizontal="center"/>
    </xf>
    <xf numFmtId="3" fontId="6" fillId="0" borderId="0" xfId="22" applyNumberFormat="1" applyFont="1">
      <alignment/>
    </xf>
    <xf numFmtId="0" fontId="3" fillId="0" borderId="7" xfId="22" applyNumberFormat="1" applyFont="1" applyBorder="1" applyAlignment="1" applyProtection="1">
      <alignment horizontal="center"/>
      <protection locked="0"/>
    </xf>
    <xf numFmtId="0" fontId="6" fillId="0" borderId="0" xfId="22" applyNumberFormat="1" applyFont="1">
      <alignment/>
    </xf>
    <xf numFmtId="3" fontId="3" fillId="0" borderId="0" xfId="23" applyNumberFormat="1" applyFont="1">
      <alignment/>
      <protection/>
    </xf>
    <xf numFmtId="168" fontId="3" fillId="0" borderId="0" xfId="22" applyNumberFormat="1" applyFont="1">
      <alignment/>
    </xf>
    <xf numFmtId="165" fontId="3" fillId="0" borderId="0" xfId="18" applyNumberFormat="1" applyFont="1" applyFill="1"/>
    <xf numFmtId="165" fontId="3" fillId="0" borderId="7" xfId="18" applyNumberFormat="1" applyFont="1" applyBorder="1"/>
    <xf numFmtId="0" fontId="3" fillId="0" borderId="0" xfId="22" applyNumberFormat="1" applyFont="1" applyProtection="1">
      <alignment/>
      <protection locked="0"/>
    </xf>
    <xf numFmtId="43" fontId="3" fillId="0" borderId="0" xfId="18" applyFont="1" applyAlignment="1">
      <alignment horizontal="center"/>
    </xf>
    <xf numFmtId="169" fontId="3" fillId="0" borderId="0" xfId="22" applyNumberFormat="1" applyFont="1" applyAlignment="1">
      <alignment horizontal="center"/>
    </xf>
    <xf numFmtId="168" fontId="3" fillId="0" borderId="0" xfId="23" applyNumberFormat="1" applyFont="1" applyAlignment="1">
      <alignment horizontal="right"/>
      <protection/>
    </xf>
    <xf numFmtId="170" fontId="3" fillId="0" borderId="0" xfId="18" applyNumberFormat="1" applyFont="1"/>
    <xf numFmtId="0" fontId="3" fillId="0" borderId="0" xfId="21" applyFont="1">
      <alignment/>
    </xf>
    <xf numFmtId="3" fontId="3" fillId="0" borderId="0" xfId="21" applyNumberFormat="1" applyFont="1">
      <alignment/>
    </xf>
    <xf numFmtId="165" fontId="3" fillId="4" borderId="0" xfId="18" applyNumberFormat="1" applyFont="1" applyFill="1"/>
    <xf numFmtId="165" fontId="3" fillId="2" borderId="0" xfId="18" applyNumberFormat="1" applyFont="1" applyFill="1"/>
    <xf numFmtId="165" fontId="3" fillId="2" borderId="7" xfId="18" applyNumberFormat="1" applyFont="1" applyFill="1" applyBorder="1"/>
    <xf numFmtId="0" fontId="3" fillId="0" borderId="0" xfId="23" applyFont="1">
      <alignment/>
      <protection/>
    </xf>
    <xf numFmtId="165" fontId="3" fillId="0" borderId="9" xfId="18" applyNumberFormat="1" applyFont="1" applyBorder="1"/>
    <xf numFmtId="169" fontId="3" fillId="0" borderId="0" xfId="23" applyNumberFormat="1" applyFont="1" applyAlignment="1">
      <alignment horizontal="center"/>
      <protection/>
    </xf>
    <xf numFmtId="3" fontId="3" fillId="0" borderId="0" xfId="22" applyNumberFormat="1" applyFont="1" applyAlignment="1">
      <alignment horizontal="right"/>
    </xf>
    <xf numFmtId="3" fontId="3" fillId="0" borderId="0" xfId="22" applyNumberFormat="1" applyFont="1" applyAlignment="1">
      <alignment horizontal="center"/>
    </xf>
    <xf numFmtId="49" fontId="3" fillId="0" borderId="0" xfId="22" applyNumberFormat="1" applyFont="1" applyProtection="1">
      <alignment/>
      <protection locked="0"/>
    </xf>
    <xf numFmtId="3" fontId="3" fillId="0" borderId="0" xfId="23" applyNumberFormat="1" applyFont="1" applyAlignment="1">
      <alignment wrapText="1"/>
      <protection/>
    </xf>
    <xf numFmtId="0" fontId="3" fillId="0" borderId="0" xfId="21" applyFont="1" applyAlignment="1" applyProtection="1">
      <alignment horizontal="center"/>
      <protection locked="0"/>
    </xf>
    <xf numFmtId="3" fontId="7" fillId="0" borderId="0" xfId="22" applyNumberFormat="1" applyFont="1">
      <alignment/>
    </xf>
    <xf numFmtId="0" fontId="3" fillId="0" borderId="0" xfId="22" applyNumberFormat="1" applyFont="1" applyAlignment="1">
      <alignment wrapText="1"/>
    </xf>
    <xf numFmtId="3" fontId="3" fillId="0" borderId="0" xfId="22" applyNumberFormat="1" applyFont="1" applyAlignment="1">
      <alignment wrapText="1"/>
    </xf>
    <xf numFmtId="164" fontId="7" fillId="0" borderId="0" xfId="20" applyFont="1">
      <alignment/>
    </xf>
    <xf numFmtId="3" fontId="3" fillId="0" borderId="0" xfId="22" applyNumberFormat="1" applyFont="1" applyAlignment="1" quotePrefix="1">
      <alignment horizontal="left"/>
    </xf>
    <xf numFmtId="0" fontId="3" fillId="0" borderId="0" xfId="22" applyNumberFormat="1" applyFont="1" applyAlignment="1" quotePrefix="1">
      <alignment horizontal="left"/>
    </xf>
    <xf numFmtId="165" fontId="3" fillId="0" borderId="0" xfId="18" applyNumberFormat="1" applyFont="1" applyAlignment="1">
      <alignment horizontal="right"/>
    </xf>
    <xf numFmtId="171" fontId="3" fillId="0" borderId="0" xfId="22" applyNumberFormat="1" applyFont="1">
      <alignment/>
    </xf>
    <xf numFmtId="171" fontId="3" fillId="0" borderId="0" xfId="22" applyNumberFormat="1" applyFont="1" applyAlignment="1">
      <alignment horizontal="center"/>
    </xf>
    <xf numFmtId="169" fontId="3" fillId="0" borderId="0" xfId="22" applyNumberFormat="1" applyFont="1" applyAlignment="1">
      <alignment horizontal="left"/>
    </xf>
    <xf numFmtId="43" fontId="3" fillId="0" borderId="0" xfId="18" applyFont="1" applyAlignment="1">
      <alignment horizontal="right"/>
    </xf>
    <xf numFmtId="172" fontId="8" fillId="0" borderId="0" xfId="18" applyNumberFormat="1" applyFont="1" applyAlignment="1">
      <alignment horizontal="right"/>
    </xf>
    <xf numFmtId="164" fontId="9" fillId="0" borderId="0" xfId="20" applyFont="1">
      <alignment/>
    </xf>
    <xf numFmtId="3" fontId="9" fillId="0" borderId="0" xfId="22" applyNumberFormat="1" applyFont="1">
      <alignment/>
    </xf>
    <xf numFmtId="164" fontId="9" fillId="0" borderId="0" xfId="22" applyFont="1">
      <alignment/>
    </xf>
    <xf numFmtId="171" fontId="9" fillId="0" borderId="0" xfId="22" applyNumberFormat="1" applyFont="1" applyAlignment="1">
      <alignment horizontal="center"/>
    </xf>
    <xf numFmtId="165" fontId="9" fillId="0" borderId="0" xfId="18" applyNumberFormat="1" applyFont="1"/>
    <xf numFmtId="164" fontId="10" fillId="0" borderId="0" xfId="20" applyFont="1">
      <alignment/>
    </xf>
    <xf numFmtId="10" fontId="3" fillId="0" borderId="0" xfId="22" applyNumberFormat="1" applyFont="1" applyAlignment="1">
      <alignment horizontal="left"/>
    </xf>
    <xf numFmtId="171" fontId="3" fillId="0" borderId="0" xfId="23" applyNumberFormat="1" applyFont="1">
      <alignment/>
      <protection/>
    </xf>
    <xf numFmtId="3" fontId="3" fillId="0" borderId="0" xfId="22" applyNumberFormat="1" applyFont="1" applyAlignment="1">
      <alignment horizontal="left"/>
    </xf>
    <xf numFmtId="165" fontId="3" fillId="0" borderId="7" xfId="18" applyNumberFormat="1" applyFont="1" applyBorder="1" applyAlignment="1">
      <alignment horizontal="right"/>
    </xf>
    <xf numFmtId="169" fontId="3" fillId="0" borderId="0" xfId="22" applyNumberFormat="1" applyFont="1" applyAlignment="1" applyProtection="1">
      <alignment horizontal="left"/>
      <protection locked="0"/>
    </xf>
    <xf numFmtId="165" fontId="3" fillId="0" borderId="0" xfId="18" applyNumberFormat="1" applyFont="1" applyFill="1" applyAlignment="1">
      <alignment horizontal="right"/>
    </xf>
    <xf numFmtId="173" fontId="3" fillId="0" borderId="0" xfId="22" applyNumberFormat="1" applyFont="1">
      <alignment/>
    </xf>
    <xf numFmtId="171" fontId="3" fillId="0" borderId="0" xfId="23" applyNumberFormat="1" applyFont="1" applyAlignment="1">
      <alignment horizontal="center"/>
      <protection/>
    </xf>
    <xf numFmtId="165" fontId="3" fillId="0" borderId="10" xfId="18" applyNumberFormat="1" applyFont="1" applyBorder="1"/>
    <xf numFmtId="164" fontId="3" fillId="0" borderId="0" xfId="22" applyFont="1" applyAlignment="1">
      <alignment horizontal="center"/>
    </xf>
    <xf numFmtId="164" fontId="3" fillId="0" borderId="0" xfId="22" applyFont="1" applyAlignment="1">
      <alignment horizontal="right"/>
    </xf>
    <xf numFmtId="0" fontId="7" fillId="0" borderId="0" xfId="22" applyNumberFormat="1" applyFont="1" applyAlignment="1" applyProtection="1">
      <alignment horizontal="center"/>
      <protection locked="0"/>
    </xf>
    <xf numFmtId="3" fontId="3" fillId="0" borderId="7" xfId="22" applyNumberFormat="1" applyFont="1" applyBorder="1">
      <alignment/>
    </xf>
    <xf numFmtId="3" fontId="3" fillId="0" borderId="7" xfId="22" applyNumberFormat="1" applyFont="1" applyBorder="1" applyAlignment="1">
      <alignment horizontal="center"/>
    </xf>
    <xf numFmtId="4" fontId="3" fillId="0" borderId="0" xfId="22" applyNumberFormat="1" applyFont="1">
      <alignment/>
    </xf>
    <xf numFmtId="3" fontId="3" fillId="0" borderId="0" xfId="23" applyNumberFormat="1" applyFont="1" applyAlignment="1">
      <alignment horizontal="center"/>
      <protection/>
    </xf>
    <xf numFmtId="0" fontId="3" fillId="0" borderId="7" xfId="23" applyFont="1" applyBorder="1" applyAlignment="1">
      <alignment horizontal="center"/>
      <protection/>
    </xf>
    <xf numFmtId="0" fontId="3" fillId="0" borderId="0" xfId="23" applyFont="1" applyAlignment="1">
      <alignment horizontal="center"/>
      <protection/>
    </xf>
    <xf numFmtId="171" fontId="3" fillId="0" borderId="0" xfId="22" applyNumberFormat="1" applyFont="1" applyAlignment="1" applyProtection="1">
      <alignment horizontal="center"/>
      <protection locked="0"/>
    </xf>
    <xf numFmtId="170" fontId="3" fillId="0" borderId="0" xfId="18" applyNumberFormat="1" applyFont="1" applyAlignment="1">
      <alignment horizontal="center"/>
    </xf>
    <xf numFmtId="0" fontId="3" fillId="0" borderId="7" xfId="22" applyNumberFormat="1" applyFont="1" applyBorder="1">
      <alignment/>
    </xf>
    <xf numFmtId="3" fontId="3" fillId="0" borderId="7" xfId="23" applyNumberFormat="1" applyFont="1" applyBorder="1">
      <alignment/>
      <protection/>
    </xf>
    <xf numFmtId="10" fontId="3" fillId="0" borderId="0" xfId="15" applyNumberFormat="1" applyFont="1" applyFill="1"/>
    <xf numFmtId="10" fontId="3" fillId="0" borderId="0" xfId="15" applyNumberFormat="1" applyFont="1"/>
    <xf numFmtId="3" fontId="3" fillId="0" borderId="0" xfId="22" applyNumberFormat="1" applyFont="1" quotePrefix="1">
      <alignment/>
    </xf>
    <xf numFmtId="43" fontId="3" fillId="0" borderId="0" xfId="18" applyFont="1" applyFill="1"/>
    <xf numFmtId="165" fontId="3" fillId="0" borderId="0" xfId="18" applyNumberFormat="1" applyFont="1" applyAlignment="1">
      <alignment horizontal="center"/>
    </xf>
    <xf numFmtId="0" fontId="3" fillId="0" borderId="0" xfId="20" applyNumberFormat="1" applyFont="1" applyAlignment="1">
      <alignment horizontal="left" wrapText="1"/>
    </xf>
    <xf numFmtId="164" fontId="3" fillId="0" borderId="0" xfId="20" applyFont="1" applyAlignment="1">
      <alignment horizontal="center" wrapText="1"/>
    </xf>
    <xf numFmtId="0" fontId="3" fillId="0" borderId="0" xfId="20" applyNumberFormat="1" applyFont="1" applyAlignment="1">
      <alignment horizontal="center" wrapText="1"/>
    </xf>
    <xf numFmtId="164" fontId="3" fillId="0" borderId="0" xfId="20" applyFont="1" applyAlignment="1">
      <alignment horizontal="left"/>
    </xf>
    <xf numFmtId="165" fontId="3" fillId="0" borderId="0" xfId="20" applyNumberFormat="1" applyFont="1">
      <alignment/>
    </xf>
    <xf numFmtId="0" fontId="3" fillId="0" borderId="0" xfId="20" applyNumberFormat="1" applyFont="1" applyAlignment="1">
      <alignment horizontal="center"/>
    </xf>
    <xf numFmtId="0" fontId="6" fillId="0" borderId="0" xfId="24" applyFont="1" applyAlignment="1">
      <alignment horizontal="centerContinuous"/>
      <protection/>
    </xf>
    <xf numFmtId="0" fontId="6" fillId="0" borderId="0" xfId="24" applyFont="1" applyAlignment="1">
      <alignment horizontal="center"/>
      <protection/>
    </xf>
    <xf numFmtId="0" fontId="6" fillId="0" borderId="0" xfId="24" applyFont="1" applyAlignment="1">
      <alignment horizontal="center" wrapText="1"/>
      <protection/>
    </xf>
    <xf numFmtId="0" fontId="6" fillId="0" borderId="0" xfId="24" applyFont="1" applyAlignment="1">
      <alignment horizontal="left"/>
      <protection/>
    </xf>
    <xf numFmtId="164" fontId="6" fillId="0" borderId="0" xfId="20" applyFont="1" applyAlignment="1">
      <alignment horizontal="center"/>
    </xf>
    <xf numFmtId="164" fontId="6" fillId="0" borderId="0" xfId="20" applyFont="1">
      <alignment/>
    </xf>
    <xf numFmtId="0" fontId="6" fillId="0" borderId="0" xfId="21" applyFont="1" applyAlignment="1">
      <alignment horizontal="center" wrapText="1"/>
    </xf>
    <xf numFmtId="0" fontId="3" fillId="0" borderId="0" xfId="25" applyFont="1" applyAlignment="1">
      <alignment horizontal="left" wrapText="1"/>
      <protection/>
    </xf>
    <xf numFmtId="0" fontId="3" fillId="0" borderId="0" xfId="24" applyFont="1" applyAlignment="1">
      <alignment horizontal="center"/>
      <protection/>
    </xf>
    <xf numFmtId="0" fontId="3" fillId="0" borderId="0" xfId="24" applyFont="1" applyAlignment="1">
      <alignment horizontal="center" wrapText="1"/>
      <protection/>
    </xf>
    <xf numFmtId="0" fontId="3" fillId="0" borderId="0" xfId="21" applyFont="1" applyAlignment="1">
      <alignment horizontal="center" wrapText="1"/>
    </xf>
    <xf numFmtId="3" fontId="3" fillId="0" borderId="0" xfId="23" applyNumberFormat="1" applyFont="1" applyAlignment="1">
      <alignment horizontal="center" wrapText="1"/>
      <protection/>
    </xf>
    <xf numFmtId="0" fontId="3" fillId="0" borderId="0" xfId="24" applyFont="1" applyAlignment="1" quotePrefix="1">
      <alignment horizontal="left"/>
      <protection/>
    </xf>
    <xf numFmtId="41" fontId="3" fillId="2" borderId="0" xfId="24" applyNumberFormat="1" applyFont="1" applyFill="1">
      <alignment/>
      <protection/>
    </xf>
    <xf numFmtId="41" fontId="3" fillId="4" borderId="0" xfId="24" applyNumberFormat="1" applyFont="1" applyFill="1">
      <alignment/>
      <protection/>
    </xf>
    <xf numFmtId="41" fontId="3" fillId="0" borderId="0" xfId="24" applyNumberFormat="1" applyFont="1">
      <alignment/>
      <protection/>
    </xf>
    <xf numFmtId="0" fontId="3" fillId="0" borderId="0" xfId="24" applyFont="1">
      <alignment/>
      <protection/>
    </xf>
    <xf numFmtId="0" fontId="3" fillId="0" borderId="0" xfId="24" applyFont="1" applyAlignment="1">
      <alignment horizontal="right"/>
      <protection/>
    </xf>
    <xf numFmtId="165" fontId="3" fillId="0" borderId="10" xfId="18" applyNumberFormat="1" applyFont="1" applyFill="1" applyBorder="1"/>
    <xf numFmtId="43" fontId="3" fillId="0" borderId="10" xfId="18" applyFont="1" applyBorder="1"/>
    <xf numFmtId="44" fontId="3" fillId="0" borderId="0" xfId="20" applyNumberFormat="1" applyFont="1">
      <alignment/>
    </xf>
    <xf numFmtId="0" fontId="3" fillId="0" borderId="0" xfId="26" applyFont="1">
      <alignment/>
      <protection/>
    </xf>
    <xf numFmtId="0" fontId="3" fillId="0" borderId="0" xfId="26" applyFont="1" applyAlignment="1">
      <alignment horizontal="center"/>
      <protection/>
    </xf>
    <xf numFmtId="3" fontId="3" fillId="0" borderId="0" xfId="26" applyNumberFormat="1" applyFont="1" applyAlignment="1">
      <alignment horizontal="center" wrapText="1"/>
      <protection/>
    </xf>
    <xf numFmtId="0" fontId="3" fillId="0" borderId="0" xfId="26" applyFont="1" applyAlignment="1">
      <alignment horizontal="center" wrapText="1"/>
      <protection/>
    </xf>
    <xf numFmtId="0" fontId="3" fillId="2" borderId="0" xfId="26" applyFont="1" applyFill="1">
      <alignment/>
      <protection/>
    </xf>
    <xf numFmtId="165" fontId="3" fillId="2" borderId="0" xfId="18" applyNumberFormat="1" applyFont="1" applyFill="1" applyAlignment="1">
      <alignment horizontal="center"/>
    </xf>
    <xf numFmtId="164" fontId="7" fillId="2" borderId="0" xfId="20" applyFont="1" applyFill="1">
      <alignment/>
    </xf>
    <xf numFmtId="165" fontId="3" fillId="0" borderId="0" xfId="18" applyNumberFormat="1" applyFont="1" applyAlignment="1">
      <alignment horizontal="center" wrapText="1"/>
    </xf>
    <xf numFmtId="0" fontId="3" fillId="2" borderId="11" xfId="26" applyFont="1" applyFill="1" applyBorder="1">
      <alignment/>
      <protection/>
    </xf>
    <xf numFmtId="165" fontId="3" fillId="2" borderId="11" xfId="18" applyNumberFormat="1" applyFont="1" applyFill="1" applyBorder="1"/>
    <xf numFmtId="165" fontId="3" fillId="2" borderId="11" xfId="18" applyNumberFormat="1" applyFont="1" applyFill="1" applyBorder="1" applyAlignment="1">
      <alignment horizontal="center"/>
    </xf>
    <xf numFmtId="164" fontId="7" fillId="2" borderId="11" xfId="20" applyFont="1" applyFill="1" applyBorder="1">
      <alignment/>
    </xf>
    <xf numFmtId="165" fontId="3" fillId="0" borderId="11" xfId="18" applyNumberFormat="1" applyFont="1" applyBorder="1" applyAlignment="1">
      <alignment horizontal="center" wrapText="1"/>
    </xf>
    <xf numFmtId="0" fontId="3" fillId="0" borderId="0" xfId="20" applyNumberFormat="1" applyFont="1" applyAlignment="1">
      <alignment horizontal="center" vertical="top"/>
    </xf>
    <xf numFmtId="0" fontId="3" fillId="0" borderId="0" xfId="20" applyNumberFormat="1" applyFont="1" applyAlignment="1">
      <alignment vertical="top"/>
    </xf>
    <xf numFmtId="0" fontId="3" fillId="0" borderId="0" xfId="20" applyNumberFormat="1" applyFont="1" applyProtection="1">
      <alignment/>
      <protection locked="0"/>
    </xf>
    <xf numFmtId="0" fontId="3" fillId="0" borderId="0" xfId="18" applyNumberFormat="1" applyFont="1" applyAlignment="1">
      <alignment horizontal="center"/>
    </xf>
    <xf numFmtId="0" fontId="3" fillId="0" borderId="0" xfId="27" applyNumberFormat="1" applyFont="1" applyAlignment="1" applyProtection="1">
      <alignment horizontal="center"/>
      <protection locked="0"/>
    </xf>
    <xf numFmtId="3" fontId="3" fillId="0" borderId="0" xfId="20" applyNumberFormat="1" applyFont="1">
      <alignment/>
    </xf>
    <xf numFmtId="0" fontId="3" fillId="0" borderId="0" xfId="20" applyNumberFormat="1" applyFont="1">
      <alignment/>
    </xf>
    <xf numFmtId="0" fontId="3" fillId="0" borderId="0" xfId="18" applyNumberFormat="1" applyFont="1" applyAlignment="1" applyProtection="1">
      <alignment horizontal="center"/>
      <protection locked="0"/>
    </xf>
    <xf numFmtId="0" fontId="6" fillId="0" borderId="0" xfId="20" applyNumberFormat="1" applyFont="1">
      <alignment/>
    </xf>
    <xf numFmtId="164" fontId="3" fillId="0" borderId="12" xfId="20" applyFont="1" applyBorder="1">
      <alignment/>
    </xf>
    <xf numFmtId="164" fontId="3" fillId="0" borderId="13" xfId="20" applyFont="1" applyBorder="1" applyAlignment="1">
      <alignment horizontal="center"/>
    </xf>
    <xf numFmtId="164" fontId="3" fillId="0" borderId="14" xfId="20" applyFont="1" applyBorder="1">
      <alignment/>
    </xf>
    <xf numFmtId="164" fontId="3" fillId="0" borderId="15" xfId="20" applyFont="1" applyBorder="1">
      <alignment/>
    </xf>
    <xf numFmtId="164" fontId="3" fillId="0" borderId="16" xfId="20" applyFont="1" applyBorder="1">
      <alignment/>
    </xf>
    <xf numFmtId="164" fontId="3" fillId="0" borderId="17" xfId="20" applyFont="1" applyBorder="1" applyAlignment="1">
      <alignment horizontal="center"/>
    </xf>
    <xf numFmtId="164" fontId="3" fillId="0" borderId="11" xfId="20" applyFont="1" applyBorder="1">
      <alignment/>
    </xf>
    <xf numFmtId="164" fontId="3" fillId="0" borderId="18" xfId="20" applyFont="1" applyBorder="1">
      <alignment/>
    </xf>
    <xf numFmtId="0" fontId="3" fillId="2" borderId="0" xfId="20" applyNumberFormat="1" applyFont="1" applyFill="1" applyAlignment="1">
      <alignment horizontal="left"/>
    </xf>
    <xf numFmtId="164" fontId="3" fillId="0" borderId="13" xfId="20" applyFont="1" applyBorder="1">
      <alignment/>
    </xf>
    <xf numFmtId="174" fontId="3" fillId="2" borderId="19" xfId="16" applyNumberFormat="1" applyFont="1" applyFill="1" applyBorder="1"/>
    <xf numFmtId="164" fontId="3" fillId="0" borderId="20" xfId="20" applyFont="1" applyBorder="1">
      <alignment/>
    </xf>
    <xf numFmtId="164" fontId="12" fillId="0" borderId="0" xfId="20" applyFont="1">
      <alignment/>
    </xf>
    <xf numFmtId="164" fontId="3" fillId="0" borderId="21" xfId="20" applyFont="1" applyBorder="1" applyAlignment="1">
      <alignment horizontal="center"/>
    </xf>
    <xf numFmtId="164" fontId="3" fillId="0" borderId="20" xfId="20" applyFont="1" applyBorder="1" applyAlignment="1">
      <alignment horizontal="center"/>
    </xf>
    <xf numFmtId="164" fontId="3" fillId="0" borderId="19" xfId="20" applyFont="1" applyBorder="1" applyAlignment="1">
      <alignment horizontal="center"/>
    </xf>
    <xf numFmtId="164" fontId="3" fillId="0" borderId="12" xfId="20" applyFont="1" applyBorder="1" applyAlignment="1">
      <alignment horizontal="center"/>
    </xf>
    <xf numFmtId="164" fontId="12" fillId="0" borderId="17" xfId="20" applyFont="1" applyBorder="1" applyAlignment="1">
      <alignment horizontal="center"/>
    </xf>
    <xf numFmtId="164" fontId="3" fillId="2" borderId="20" xfId="20" applyFont="1" applyFill="1" applyBorder="1">
      <alignment/>
    </xf>
    <xf numFmtId="165" fontId="3" fillId="2" borderId="12" xfId="18" applyNumberFormat="1" applyFont="1" applyFill="1" applyBorder="1"/>
    <xf numFmtId="43" fontId="3" fillId="0" borderId="13" xfId="18" applyFont="1" applyBorder="1"/>
    <xf numFmtId="165" fontId="3" fillId="0" borderId="22" xfId="18" applyNumberFormat="1" applyFont="1" applyBorder="1"/>
    <xf numFmtId="165" fontId="3" fillId="2" borderId="15" xfId="18" applyNumberFormat="1" applyFont="1" applyFill="1" applyBorder="1"/>
    <xf numFmtId="165" fontId="3" fillId="0" borderId="20" xfId="18" applyNumberFormat="1" applyFont="1" applyBorder="1" applyAlignment="1">
      <alignment horizontal="center"/>
    </xf>
    <xf numFmtId="43" fontId="3" fillId="2" borderId="13" xfId="18" applyFont="1" applyFill="1" applyBorder="1" applyAlignment="1">
      <alignment horizontal="center"/>
    </xf>
    <xf numFmtId="43" fontId="3" fillId="2" borderId="19" xfId="18" applyFont="1" applyFill="1" applyBorder="1"/>
    <xf numFmtId="43" fontId="3" fillId="0" borderId="20" xfId="18" applyFont="1" applyBorder="1"/>
    <xf numFmtId="165" fontId="3" fillId="2" borderId="22" xfId="18" applyNumberFormat="1" applyFont="1" applyFill="1" applyBorder="1"/>
    <xf numFmtId="165" fontId="3" fillId="0" borderId="20" xfId="18" applyNumberFormat="1" applyFont="1" applyBorder="1"/>
    <xf numFmtId="43" fontId="3" fillId="2" borderId="20" xfId="18" applyFont="1" applyFill="1" applyBorder="1"/>
    <xf numFmtId="164" fontId="3" fillId="0" borderId="17" xfId="20" applyFont="1" applyBorder="1">
      <alignment/>
    </xf>
    <xf numFmtId="174" fontId="3" fillId="0" borderId="16" xfId="16" applyNumberFormat="1" applyFont="1" applyBorder="1"/>
    <xf numFmtId="10" fontId="3" fillId="0" borderId="17" xfId="15" applyNumberFormat="1" applyFont="1" applyBorder="1"/>
    <xf numFmtId="165" fontId="3" fillId="0" borderId="11" xfId="20" applyNumberFormat="1" applyFont="1" applyBorder="1">
      <alignment/>
    </xf>
    <xf numFmtId="165" fontId="3" fillId="0" borderId="18" xfId="16" applyNumberFormat="1" applyFont="1" applyBorder="1"/>
    <xf numFmtId="165" fontId="3" fillId="0" borderId="17" xfId="20" applyNumberFormat="1" applyFont="1" applyBorder="1">
      <alignment/>
    </xf>
    <xf numFmtId="10" fontId="3" fillId="2" borderId="0" xfId="18" applyNumberFormat="1" applyFont="1" applyFill="1"/>
    <xf numFmtId="0" fontId="6" fillId="0" borderId="0" xfId="18" applyNumberFormat="1" applyFont="1" applyAlignment="1">
      <alignment horizontal="left"/>
    </xf>
    <xf numFmtId="164" fontId="3" fillId="0" borderId="11" xfId="20" applyFont="1" applyBorder="1" applyAlignment="1">
      <alignment horizontal="center"/>
    </xf>
    <xf numFmtId="43" fontId="3" fillId="2" borderId="19" xfId="18" applyFont="1" applyFill="1" applyBorder="1" applyAlignment="1">
      <alignment horizontal="center"/>
    </xf>
    <xf numFmtId="164" fontId="3" fillId="0" borderId="16" xfId="20" applyFont="1" applyBorder="1" applyAlignment="1">
      <alignment horizontal="center"/>
    </xf>
    <xf numFmtId="165" fontId="3" fillId="2" borderId="17" xfId="18" applyNumberFormat="1" applyFont="1" applyFill="1" applyBorder="1"/>
    <xf numFmtId="0" fontId="3" fillId="0" borderId="0" xfId="28" applyFont="1">
      <alignment/>
      <protection/>
    </xf>
    <xf numFmtId="0" fontId="3" fillId="0" borderId="0" xfId="18" applyNumberFormat="1" applyFont="1" applyAlignment="1">
      <alignment horizontal="center" vertical="top"/>
    </xf>
    <xf numFmtId="164" fontId="3" fillId="0" borderId="0" xfId="20" applyFont="1" applyAlignment="1">
      <alignment horizontal="center" vertical="top"/>
    </xf>
    <xf numFmtId="164" fontId="3" fillId="0" borderId="0" xfId="20" applyFont="1" applyAlignment="1">
      <alignment horizontal="right"/>
    </xf>
    <xf numFmtId="0" fontId="3" fillId="0" borderId="0" xfId="20" applyNumberFormat="1" applyFont="1" applyAlignment="1">
      <alignment horizontal="right"/>
    </xf>
    <xf numFmtId="0" fontId="14" fillId="0" borderId="0" xfId="20" applyNumberFormat="1" applyFont="1">
      <alignment/>
    </xf>
    <xf numFmtId="0" fontId="14" fillId="0" borderId="0" xfId="20" applyNumberFormat="1" applyFont="1" applyAlignment="1">
      <alignment horizontal="center"/>
    </xf>
    <xf numFmtId="49" fontId="3" fillId="0" borderId="0" xfId="20" applyNumberFormat="1" applyFont="1">
      <alignment/>
    </xf>
    <xf numFmtId="49" fontId="3" fillId="0" borderId="0" xfId="20" applyNumberFormat="1" applyFont="1" applyAlignment="1">
      <alignment horizontal="center"/>
    </xf>
    <xf numFmtId="3" fontId="6" fillId="0" borderId="0" xfId="20" applyNumberFormat="1" applyFont="1" applyAlignment="1">
      <alignment horizontal="center"/>
    </xf>
    <xf numFmtId="0" fontId="6" fillId="0" borderId="0" xfId="20" applyNumberFormat="1" applyFont="1" applyAlignment="1" applyProtection="1">
      <alignment horizontal="center"/>
      <protection locked="0"/>
    </xf>
    <xf numFmtId="0" fontId="6" fillId="0" borderId="0" xfId="20" applyNumberFormat="1" applyFont="1" applyAlignment="1">
      <alignment horizontal="center"/>
    </xf>
    <xf numFmtId="0" fontId="15" fillId="0" borderId="0" xfId="20" applyNumberFormat="1" applyFont="1" applyAlignment="1" applyProtection="1">
      <alignment horizontal="center"/>
      <protection locked="0"/>
    </xf>
    <xf numFmtId="3" fontId="3" fillId="0" borderId="0" xfId="20" applyNumberFormat="1" applyFont="1" applyAlignment="1">
      <alignment horizontal="center"/>
    </xf>
    <xf numFmtId="3" fontId="3" fillId="0" borderId="0" xfId="20" applyNumberFormat="1" applyFont="1" applyAlignment="1">
      <alignment horizontal="left"/>
    </xf>
    <xf numFmtId="175" fontId="3" fillId="0" borderId="0" xfId="18" applyNumberFormat="1" applyFont="1"/>
    <xf numFmtId="165" fontId="16" fillId="0" borderId="0" xfId="18" applyNumberFormat="1" applyFont="1"/>
    <xf numFmtId="10" fontId="16" fillId="0" borderId="0" xfId="15" applyNumberFormat="1" applyFont="1"/>
    <xf numFmtId="10" fontId="6" fillId="0" borderId="0" xfId="20" applyNumberFormat="1" applyFont="1">
      <alignment/>
    </xf>
    <xf numFmtId="3" fontId="6" fillId="0" borderId="0" xfId="20" applyNumberFormat="1" applyFont="1">
      <alignment/>
    </xf>
    <xf numFmtId="168" fontId="6" fillId="0" borderId="0" xfId="20" applyNumberFormat="1" applyFont="1">
      <alignment/>
    </xf>
    <xf numFmtId="10" fontId="3" fillId="0" borderId="0" xfId="20" applyNumberFormat="1" applyFont="1">
      <alignment/>
    </xf>
    <xf numFmtId="43" fontId="16" fillId="0" borderId="0" xfId="18" applyFont="1"/>
    <xf numFmtId="49" fontId="6" fillId="0" borderId="0" xfId="20" applyNumberFormat="1" applyFont="1" applyAlignment="1">
      <alignment horizontal="center"/>
    </xf>
    <xf numFmtId="3" fontId="6" fillId="0" borderId="0" xfId="20" applyNumberFormat="1" applyFont="1" applyAlignment="1">
      <alignment horizontal="left"/>
    </xf>
    <xf numFmtId="170" fontId="6" fillId="0" borderId="0" xfId="18" applyNumberFormat="1" applyFont="1"/>
    <xf numFmtId="10" fontId="6" fillId="0" borderId="0" xfId="15" applyNumberFormat="1" applyFont="1"/>
    <xf numFmtId="0" fontId="3" fillId="0" borderId="0" xfId="20" applyNumberFormat="1" applyFont="1" applyAlignment="1">
      <alignment horizontal="fill"/>
    </xf>
    <xf numFmtId="164" fontId="17" fillId="0" borderId="0" xfId="20" applyFont="1">
      <alignment/>
    </xf>
    <xf numFmtId="3" fontId="17" fillId="0" borderId="0" xfId="20" applyNumberFormat="1" applyFont="1">
      <alignment/>
    </xf>
    <xf numFmtId="169" fontId="3" fillId="0" borderId="0" xfId="20" applyNumberFormat="1" applyFont="1" applyAlignment="1">
      <alignment horizontal="left"/>
    </xf>
    <xf numFmtId="169" fontId="3" fillId="0" borderId="0" xfId="20" applyNumberFormat="1" applyFont="1" applyAlignment="1">
      <alignment horizontal="center"/>
    </xf>
    <xf numFmtId="176" fontId="3" fillId="0" borderId="0" xfId="20" applyNumberFormat="1" applyFont="1">
      <alignment/>
    </xf>
    <xf numFmtId="43" fontId="6" fillId="0" borderId="0" xfId="18" applyFont="1"/>
    <xf numFmtId="0" fontId="17" fillId="0" borderId="0" xfId="20" applyNumberFormat="1" applyFont="1">
      <alignment/>
    </xf>
    <xf numFmtId="49" fontId="3" fillId="0" borderId="0" xfId="20" applyNumberFormat="1" applyFont="1" applyAlignment="1">
      <alignment horizontal="left"/>
    </xf>
    <xf numFmtId="166" fontId="6" fillId="0" borderId="0" xfId="20" applyNumberFormat="1" applyFont="1" applyAlignment="1" quotePrefix="1">
      <alignment horizontal="center"/>
    </xf>
    <xf numFmtId="164" fontId="6" fillId="0" borderId="23" xfId="20" applyFont="1" applyBorder="1" applyAlignment="1">
      <alignment horizontal="center" wrapText="1"/>
    </xf>
    <xf numFmtId="164" fontId="6" fillId="0" borderId="24" xfId="20" applyFont="1" applyBorder="1">
      <alignment/>
    </xf>
    <xf numFmtId="164" fontId="6" fillId="0" borderId="24" xfId="20" applyFont="1" applyBorder="1" applyAlignment="1">
      <alignment horizontal="center" wrapText="1"/>
    </xf>
    <xf numFmtId="164" fontId="6" fillId="0" borderId="25" xfId="20" applyFont="1" applyBorder="1" applyAlignment="1">
      <alignment horizontal="center" wrapText="1"/>
    </xf>
    <xf numFmtId="0" fontId="3" fillId="0" borderId="26" xfId="20" applyNumberFormat="1" applyFont="1" applyBorder="1">
      <alignment/>
    </xf>
    <xf numFmtId="0" fontId="3" fillId="0" borderId="11" xfId="20" applyNumberFormat="1" applyFont="1" applyBorder="1">
      <alignment/>
    </xf>
    <xf numFmtId="0" fontId="3" fillId="0" borderId="11" xfId="20" applyNumberFormat="1" applyFont="1" applyBorder="1" applyAlignment="1">
      <alignment horizontal="center"/>
    </xf>
    <xf numFmtId="0" fontId="3" fillId="0" borderId="27" xfId="20" applyNumberFormat="1" applyFont="1" applyBorder="1" applyAlignment="1">
      <alignment horizontal="center"/>
    </xf>
    <xf numFmtId="3" fontId="3" fillId="0" borderId="0" xfId="20" applyNumberFormat="1" applyFont="1" applyAlignment="1">
      <alignment horizontal="center" wrapText="1"/>
    </xf>
    <xf numFmtId="0" fontId="3" fillId="0" borderId="4" xfId="20" applyNumberFormat="1" applyFont="1" applyBorder="1">
      <alignment/>
    </xf>
    <xf numFmtId="0" fontId="3" fillId="0" borderId="5" xfId="20" applyNumberFormat="1" applyFont="1" applyBorder="1">
      <alignment/>
    </xf>
    <xf numFmtId="164" fontId="3" fillId="0" borderId="4" xfId="29" applyFont="1" applyBorder="1">
      <alignment/>
    </xf>
    <xf numFmtId="164" fontId="3" fillId="0" borderId="0" xfId="29" applyFont="1">
      <alignment/>
    </xf>
    <xf numFmtId="164" fontId="3" fillId="4" borderId="0" xfId="29" applyFont="1" applyFill="1">
      <alignment/>
    </xf>
    <xf numFmtId="43" fontId="3" fillId="4" borderId="0" xfId="18" applyFont="1" applyFill="1"/>
    <xf numFmtId="43" fontId="3" fillId="0" borderId="5" xfId="18" applyFont="1" applyBorder="1"/>
    <xf numFmtId="164" fontId="3" fillId="4" borderId="0" xfId="20" applyFont="1" applyFill="1">
      <alignment/>
    </xf>
    <xf numFmtId="164" fontId="3" fillId="0" borderId="6" xfId="20" applyFont="1" applyBorder="1">
      <alignment/>
    </xf>
    <xf numFmtId="164" fontId="18" fillId="0" borderId="7" xfId="20" applyFont="1" applyBorder="1">
      <alignment/>
    </xf>
    <xf numFmtId="164" fontId="18" fillId="0" borderId="8" xfId="20" applyFont="1" applyBorder="1">
      <alignment/>
    </xf>
    <xf numFmtId="164" fontId="18" fillId="0" borderId="0" xfId="20" applyFont="1">
      <alignment/>
    </xf>
    <xf numFmtId="164" fontId="3" fillId="0" borderId="0" xfId="22" applyFont="1" applyProtection="1">
      <alignment/>
      <protection locked="0"/>
    </xf>
    <xf numFmtId="176" fontId="3" fillId="0" borderId="0" xfId="22" applyNumberFormat="1" applyFont="1">
      <alignment/>
    </xf>
    <xf numFmtId="0" fontId="3" fillId="0" borderId="0" xfId="23" applyFont="1" applyAlignment="1">
      <alignment horizontal="right"/>
      <protection/>
    </xf>
    <xf numFmtId="0" fontId="3" fillId="4" borderId="0" xfId="23" applyFont="1" applyFill="1">
      <alignment/>
      <protection/>
    </xf>
    <xf numFmtId="0" fontId="3" fillId="4" borderId="0" xfId="22" applyNumberFormat="1" applyFont="1" applyFill="1">
      <alignment/>
    </xf>
    <xf numFmtId="0" fontId="3" fillId="4" borderId="0" xfId="20" applyNumberFormat="1" applyFont="1" applyFill="1" applyAlignment="1">
      <alignment horizontal="right"/>
    </xf>
    <xf numFmtId="0" fontId="19" fillId="0" borderId="0" xfId="22" applyNumberFormat="1" applyFont="1">
      <alignment/>
    </xf>
    <xf numFmtId="164" fontId="20" fillId="0" borderId="0" xfId="20" applyFont="1" applyAlignment="1">
      <alignment horizontal="center"/>
    </xf>
    <xf numFmtId="49" fontId="3" fillId="0" borderId="0" xfId="22" applyNumberFormat="1" applyFont="1">
      <alignment/>
    </xf>
    <xf numFmtId="42" fontId="3" fillId="0" borderId="0" xfId="23" applyNumberFormat="1" applyFont="1">
      <alignment/>
      <protection/>
    </xf>
    <xf numFmtId="0" fontId="3" fillId="0" borderId="7" xfId="22" applyNumberFormat="1" applyFont="1" applyBorder="1" applyAlignment="1" applyProtection="1">
      <alignment horizontal="centerContinuous"/>
      <protection locked="0"/>
    </xf>
    <xf numFmtId="43" fontId="3" fillId="0" borderId="0" xfId="18" applyFont="1" applyAlignment="1">
      <alignment horizontal="fill"/>
    </xf>
    <xf numFmtId="3" fontId="3" fillId="0" borderId="0" xfId="22" applyNumberFormat="1" applyFont="1" applyAlignment="1">
      <alignment horizontal="fill"/>
    </xf>
    <xf numFmtId="42" fontId="3" fillId="0" borderId="9" xfId="22" applyNumberFormat="1" applyFont="1" applyBorder="1" applyAlignment="1" applyProtection="1">
      <alignment horizontal="right"/>
      <protection locked="0"/>
    </xf>
    <xf numFmtId="176" fontId="17" fillId="0" borderId="0" xfId="20" applyNumberFormat="1" applyFont="1">
      <alignment/>
    </xf>
    <xf numFmtId="0" fontId="3" fillId="0" borderId="0" xfId="21" applyFont="1" applyAlignment="1">
      <alignment horizontal="left"/>
    </xf>
    <xf numFmtId="171" fontId="3" fillId="0" borderId="0" xfId="21" applyNumberFormat="1" applyFont="1">
      <alignment/>
    </xf>
    <xf numFmtId="42" fontId="3" fillId="0" borderId="9" xfId="21" applyNumberFormat="1" applyFont="1" applyBorder="1" applyAlignment="1" applyProtection="1">
      <alignment horizontal="right"/>
      <protection locked="0"/>
    </xf>
    <xf numFmtId="177" fontId="3" fillId="0" borderId="0" xfId="23" applyNumberFormat="1" applyFont="1">
      <alignment/>
      <protection/>
    </xf>
    <xf numFmtId="177" fontId="3" fillId="0" borderId="0" xfId="22" applyNumberFormat="1" applyFont="1">
      <alignment/>
    </xf>
    <xf numFmtId="177" fontId="3" fillId="0" borderId="0" xfId="22" applyNumberFormat="1" applyFont="1" applyAlignment="1">
      <alignment horizontal="center"/>
    </xf>
    <xf numFmtId="0" fontId="3" fillId="0" borderId="0" xfId="22" applyNumberFormat="1" applyFont="1" applyAlignment="1">
      <alignment horizontal="left"/>
    </xf>
    <xf numFmtId="178" fontId="3" fillId="0" borderId="0" xfId="23" applyNumberFormat="1" applyFont="1">
      <alignment/>
      <protection/>
    </xf>
    <xf numFmtId="178" fontId="3" fillId="0" borderId="0" xfId="22" applyNumberFormat="1" applyFont="1" applyProtection="1">
      <alignment/>
      <protection locked="0"/>
    </xf>
    <xf numFmtId="179" fontId="3" fillId="0" borderId="0" xfId="22" applyNumberFormat="1" applyFont="1">
      <alignment/>
    </xf>
    <xf numFmtId="0" fontId="3" fillId="0" borderId="0" xfId="22" applyNumberFormat="1" applyFont="1" applyAlignment="1">
      <alignment horizontal="right"/>
    </xf>
    <xf numFmtId="0" fontId="18" fillId="0" borderId="0" xfId="22" applyNumberFormat="1" applyFont="1">
      <alignment/>
    </xf>
    <xf numFmtId="165" fontId="3" fillId="4" borderId="7" xfId="18" applyNumberFormat="1" applyFont="1" applyFill="1" applyBorder="1"/>
    <xf numFmtId="180" fontId="3" fillId="0" borderId="0" xfId="22" applyNumberFormat="1" applyFont="1" applyAlignment="1">
      <alignment horizontal="left"/>
    </xf>
    <xf numFmtId="172" fontId="3" fillId="0" borderId="0" xfId="18" applyNumberFormat="1" applyFont="1"/>
    <xf numFmtId="0" fontId="3" fillId="0" borderId="7" xfId="22" applyNumberFormat="1" applyFont="1" applyBorder="1" applyProtection="1">
      <alignment/>
      <protection locked="0"/>
    </xf>
    <xf numFmtId="172" fontId="3" fillId="0" borderId="0" xfId="18" applyNumberFormat="1" applyFont="1" applyAlignment="1">
      <alignment horizontal="right"/>
    </xf>
    <xf numFmtId="165" fontId="3" fillId="4" borderId="0" xfId="18" applyNumberFormat="1" applyFont="1" applyFill="1" applyAlignment="1">
      <alignment horizontal="center"/>
    </xf>
    <xf numFmtId="167" fontId="3" fillId="4" borderId="0" xfId="18" applyNumberFormat="1" applyFont="1" applyFill="1"/>
    <xf numFmtId="165" fontId="3" fillId="4" borderId="7" xfId="18" applyNumberFormat="1" applyFont="1" applyFill="1" applyBorder="1" applyAlignment="1">
      <alignment horizontal="center"/>
    </xf>
    <xf numFmtId="0" fontId="17" fillId="0" borderId="0" xfId="22" applyNumberFormat="1" applyFont="1" applyProtection="1">
      <alignment/>
      <protection locked="0"/>
    </xf>
    <xf numFmtId="164" fontId="17" fillId="0" borderId="0" xfId="22" applyFont="1">
      <alignment/>
    </xf>
    <xf numFmtId="175" fontId="3" fillId="4" borderId="0" xfId="18" applyNumberFormat="1" applyFont="1" applyFill="1" applyProtection="1">
      <protection locked="0"/>
    </xf>
    <xf numFmtId="38" fontId="3" fillId="0" borderId="0" xfId="22" applyNumberFormat="1" applyFont="1">
      <alignment/>
    </xf>
    <xf numFmtId="164" fontId="3" fillId="0" borderId="7" xfId="22" applyFont="1" applyBorder="1">
      <alignment/>
    </xf>
    <xf numFmtId="175" fontId="3" fillId="0" borderId="7" xfId="18" applyNumberFormat="1" applyFont="1" applyBorder="1" applyProtection="1">
      <protection locked="0"/>
    </xf>
    <xf numFmtId="177" fontId="3" fillId="0" borderId="0" xfId="22" applyNumberFormat="1" applyFont="1" applyProtection="1">
      <alignment/>
      <protection locked="0"/>
    </xf>
    <xf numFmtId="1" fontId="3" fillId="0" borderId="0" xfId="22" applyNumberFormat="1" applyFont="1">
      <alignment/>
    </xf>
    <xf numFmtId="0" fontId="3" fillId="0" borderId="0" xfId="22" applyNumberFormat="1" applyFont="1" applyAlignment="1" applyProtection="1">
      <alignment horizontal="left"/>
      <protection locked="0"/>
    </xf>
    <xf numFmtId="165" fontId="3" fillId="4" borderId="0" xfId="18" applyNumberFormat="1" applyFont="1" applyFill="1" applyProtection="1">
      <protection locked="0"/>
    </xf>
    <xf numFmtId="0" fontId="3" fillId="0" borderId="7" xfId="23" applyFont="1" applyBorder="1" applyAlignment="1">
      <alignment horizontal="left" vertical="center" wrapText="1"/>
      <protection/>
    </xf>
    <xf numFmtId="165" fontId="3" fillId="0" borderId="7" xfId="18" applyNumberFormat="1" applyFont="1" applyBorder="1" applyProtection="1">
      <protection locked="0"/>
    </xf>
    <xf numFmtId="3" fontId="3" fillId="0" borderId="0" xfId="22" applyNumberFormat="1" applyFont="1" applyAlignment="1" applyProtection="1">
      <alignment horizontal="right"/>
      <protection locked="0"/>
    </xf>
    <xf numFmtId="176" fontId="3" fillId="0" borderId="0" xfId="22" applyNumberFormat="1" applyFont="1" applyAlignment="1" applyProtection="1">
      <alignment horizontal="right"/>
      <protection locked="0"/>
    </xf>
    <xf numFmtId="176" fontId="3" fillId="0" borderId="0" xfId="22" applyNumberFormat="1" applyFont="1" applyProtection="1">
      <alignment/>
      <protection locked="0"/>
    </xf>
    <xf numFmtId="0" fontId="3" fillId="0" borderId="0" xfId="22" applyNumberFormat="1" applyFont="1" applyAlignment="1" applyProtection="1">
      <alignment horizontal="left" indent="8"/>
      <protection locked="0"/>
    </xf>
    <xf numFmtId="3" fontId="3" fillId="0" borderId="0" xfId="22" applyNumberFormat="1" applyFont="1" applyAlignment="1">
      <alignment vertical="top" wrapText="1"/>
    </xf>
    <xf numFmtId="0" fontId="3" fillId="0" borderId="0" xfId="22" applyNumberFormat="1" applyFont="1" applyAlignment="1" applyProtection="1">
      <alignment vertical="top" wrapText="1"/>
      <protection locked="0"/>
    </xf>
    <xf numFmtId="0" fontId="3" fillId="0" borderId="0" xfId="22" applyNumberFormat="1" applyFont="1" applyAlignment="1" applyProtection="1">
      <alignment vertical="top"/>
      <protection locked="0"/>
    </xf>
    <xf numFmtId="10" fontId="3" fillId="0" borderId="0" xfId="15" applyNumberFormat="1" applyFont="1" applyAlignment="1">
      <alignment horizontal="right"/>
    </xf>
    <xf numFmtId="43" fontId="3" fillId="0" borderId="0" xfId="18" applyFont="1" applyAlignment="1" applyProtection="1">
      <alignment vertical="top"/>
      <protection locked="0"/>
    </xf>
    <xf numFmtId="164" fontId="3" fillId="0" borderId="0" xfId="22" applyFont="1" applyAlignment="1">
      <alignment vertical="top" wrapText="1"/>
    </xf>
    <xf numFmtId="0" fontId="3" fillId="0" borderId="0" xfId="23" applyFont="1" applyAlignment="1">
      <alignment vertical="top" wrapText="1"/>
      <protection/>
    </xf>
    <xf numFmtId="0" fontId="3" fillId="0" borderId="0" xfId="23" applyFont="1" applyAlignment="1">
      <alignment vertical="top"/>
      <protection/>
    </xf>
    <xf numFmtId="176" fontId="3" fillId="0" borderId="0" xfId="22" applyNumberFormat="1" applyFont="1" applyAlignment="1">
      <alignment vertical="top"/>
    </xf>
    <xf numFmtId="3" fontId="3" fillId="0" borderId="0" xfId="22" applyNumberFormat="1" applyFont="1" applyAlignment="1">
      <alignment vertical="top"/>
    </xf>
    <xf numFmtId="164" fontId="3" fillId="0" borderId="0" xfId="20" applyFont="1" applyAlignment="1">
      <alignment vertical="top"/>
    </xf>
    <xf numFmtId="164" fontId="22" fillId="0" borderId="0" xfId="20" applyFont="1">
      <alignment/>
    </xf>
    <xf numFmtId="165" fontId="14" fillId="0" borderId="0" xfId="18" applyNumberFormat="1" applyFont="1"/>
    <xf numFmtId="181" fontId="16" fillId="0" borderId="0" xfId="18" applyNumberFormat="1" applyFont="1"/>
    <xf numFmtId="182" fontId="6" fillId="0" borderId="0" xfId="18" applyNumberFormat="1" applyFont="1"/>
    <xf numFmtId="164" fontId="6" fillId="0" borderId="28" xfId="20" applyFont="1" applyBorder="1" applyAlignment="1">
      <alignment horizontal="center" wrapText="1"/>
    </xf>
    <xf numFmtId="164" fontId="6" fillId="0" borderId="29" xfId="20" applyFont="1" applyBorder="1">
      <alignment/>
    </xf>
    <xf numFmtId="164" fontId="6" fillId="0" borderId="29" xfId="20" applyFont="1" applyBorder="1" applyAlignment="1">
      <alignment horizontal="center" wrapText="1"/>
    </xf>
    <xf numFmtId="0" fontId="6" fillId="0" borderId="29" xfId="20" applyNumberFormat="1" applyFont="1" applyBorder="1" applyAlignment="1">
      <alignment horizontal="center" wrapText="1"/>
    </xf>
    <xf numFmtId="164" fontId="6" fillId="0" borderId="21" xfId="20" applyFont="1" applyBorder="1" applyAlignment="1">
      <alignment horizontal="center" wrapText="1"/>
    </xf>
    <xf numFmtId="3" fontId="6" fillId="0" borderId="21" xfId="20" applyNumberFormat="1" applyFont="1" applyBorder="1" applyAlignment="1">
      <alignment horizontal="center" wrapText="1"/>
    </xf>
    <xf numFmtId="0" fontId="3" fillId="0" borderId="28" xfId="20" applyNumberFormat="1" applyFont="1" applyBorder="1">
      <alignment/>
    </xf>
    <xf numFmtId="0" fontId="3" fillId="0" borderId="29" xfId="20" applyNumberFormat="1" applyFont="1" applyBorder="1">
      <alignment/>
    </xf>
    <xf numFmtId="0" fontId="3" fillId="0" borderId="29" xfId="20" applyNumberFormat="1" applyFont="1" applyBorder="1" applyAlignment="1">
      <alignment horizontal="center"/>
    </xf>
    <xf numFmtId="0" fontId="3" fillId="0" borderId="21" xfId="20" applyNumberFormat="1" applyFont="1" applyBorder="1" applyAlignment="1">
      <alignment horizontal="center"/>
    </xf>
    <xf numFmtId="0" fontId="3" fillId="0" borderId="21" xfId="20" applyNumberFormat="1" applyFont="1" applyBorder="1" applyAlignment="1">
      <alignment horizontal="center" wrapText="1"/>
    </xf>
    <xf numFmtId="3" fontId="3" fillId="0" borderId="21" xfId="20" applyNumberFormat="1" applyFont="1" applyBorder="1" applyAlignment="1">
      <alignment horizontal="center" wrapText="1"/>
    </xf>
    <xf numFmtId="0" fontId="3" fillId="0" borderId="29" xfId="20" applyNumberFormat="1" applyFont="1" applyBorder="1" applyAlignment="1">
      <alignment horizontal="center" wrapText="1"/>
    </xf>
    <xf numFmtId="3" fontId="3" fillId="0" borderId="29" xfId="20" applyNumberFormat="1" applyFont="1" applyBorder="1" applyAlignment="1">
      <alignment horizontal="center"/>
    </xf>
    <xf numFmtId="0" fontId="3" fillId="0" borderId="19" xfId="20" applyNumberFormat="1" applyFont="1" applyBorder="1">
      <alignment/>
    </xf>
    <xf numFmtId="0" fontId="3" fillId="0" borderId="20" xfId="20" applyNumberFormat="1" applyFont="1" applyBorder="1">
      <alignment/>
    </xf>
    <xf numFmtId="0" fontId="3" fillId="0" borderId="12" xfId="20" applyNumberFormat="1" applyFont="1" applyBorder="1">
      <alignment/>
    </xf>
    <xf numFmtId="0" fontId="3" fillId="0" borderId="13" xfId="20" applyNumberFormat="1" applyFont="1" applyBorder="1">
      <alignment/>
    </xf>
    <xf numFmtId="3" fontId="3" fillId="0" borderId="20" xfId="20" applyNumberFormat="1" applyFont="1" applyBorder="1">
      <alignment/>
    </xf>
    <xf numFmtId="164" fontId="3" fillId="0" borderId="19" xfId="29" applyFont="1" applyBorder="1">
      <alignment/>
    </xf>
    <xf numFmtId="0" fontId="3" fillId="4" borderId="0" xfId="18" applyNumberFormat="1" applyFont="1" applyFill="1"/>
    <xf numFmtId="174" fontId="3" fillId="4" borderId="0" xfId="16" applyNumberFormat="1" applyFont="1" applyFill="1"/>
    <xf numFmtId="165" fontId="3" fillId="4" borderId="19" xfId="18" applyNumberFormat="1" applyFont="1" applyFill="1" applyBorder="1"/>
    <xf numFmtId="0" fontId="3" fillId="4" borderId="0" xfId="18" applyNumberFormat="1" applyFont="1" applyFill="1" applyAlignment="1">
      <alignment horizontal="right"/>
    </xf>
    <xf numFmtId="164" fontId="3" fillId="0" borderId="19" xfId="20" applyFont="1" applyBorder="1">
      <alignment/>
    </xf>
    <xf numFmtId="43" fontId="3" fillId="0" borderId="17" xfId="18" applyFont="1" applyBorder="1"/>
    <xf numFmtId="164" fontId="18" fillId="0" borderId="16" xfId="20" applyFont="1" applyBorder="1">
      <alignment/>
    </xf>
    <xf numFmtId="164" fontId="18" fillId="0" borderId="17" xfId="20" applyFont="1" applyBorder="1">
      <alignment/>
    </xf>
    <xf numFmtId="164" fontId="18" fillId="0" borderId="11" xfId="20" applyFont="1" applyBorder="1">
      <alignment/>
    </xf>
    <xf numFmtId="165" fontId="3" fillId="0" borderId="17" xfId="18" applyNumberFormat="1" applyFont="1" applyBorder="1"/>
    <xf numFmtId="1" fontId="3" fillId="0" borderId="0" xfId="18" applyNumberFormat="1" applyFont="1" applyAlignment="1">
      <alignment horizontal="center"/>
    </xf>
    <xf numFmtId="165" fontId="3" fillId="5" borderId="0" xfId="18" applyNumberFormat="1" applyFont="1" applyFill="1"/>
    <xf numFmtId="164" fontId="20" fillId="0" borderId="0" xfId="20" applyFont="1">
      <alignment/>
    </xf>
    <xf numFmtId="0" fontId="8" fillId="0" borderId="0" xfId="20" applyNumberFormat="1" applyFont="1" applyProtection="1">
      <alignment/>
      <protection locked="0"/>
    </xf>
    <xf numFmtId="0" fontId="8" fillId="0" borderId="0" xfId="20" applyNumberFormat="1" applyFont="1" applyAlignment="1" applyProtection="1">
      <alignment horizontal="center"/>
      <protection locked="0"/>
    </xf>
    <xf numFmtId="0" fontId="20" fillId="0" borderId="0" xfId="20" applyNumberFormat="1" applyFont="1" applyAlignment="1">
      <alignment horizontal="right"/>
    </xf>
    <xf numFmtId="3" fontId="8" fillId="0" borderId="0" xfId="20" applyNumberFormat="1" applyFont="1">
      <alignment/>
    </xf>
    <xf numFmtId="0" fontId="20" fillId="0" borderId="0" xfId="20" applyNumberFormat="1" applyFont="1" applyAlignment="1" applyProtection="1">
      <alignment horizontal="center"/>
      <protection locked="0"/>
    </xf>
    <xf numFmtId="164" fontId="0" fillId="0" borderId="0" xfId="20" applyFont="1">
      <alignment/>
    </xf>
    <xf numFmtId="0" fontId="8" fillId="0" borderId="0" xfId="20" applyNumberFormat="1" applyFont="1">
      <alignment/>
    </xf>
    <xf numFmtId="0" fontId="20" fillId="0" borderId="0" xfId="20" applyNumberFormat="1" applyFont="1" applyAlignment="1">
      <alignment horizontal="center"/>
    </xf>
    <xf numFmtId="0" fontId="20" fillId="0" borderId="0" xfId="22" applyNumberFormat="1" applyFont="1" applyAlignment="1">
      <alignment horizontal="center"/>
    </xf>
    <xf numFmtId="43" fontId="20" fillId="0" borderId="0" xfId="18" applyFont="1"/>
    <xf numFmtId="165" fontId="20" fillId="0" borderId="0" xfId="18" applyNumberFormat="1" applyFont="1"/>
    <xf numFmtId="176" fontId="20" fillId="0" borderId="0" xfId="20" applyNumberFormat="1" applyFont="1">
      <alignment/>
    </xf>
    <xf numFmtId="165" fontId="20" fillId="0" borderId="0" xfId="18" applyNumberFormat="1" applyFont="1" applyAlignment="1" applyProtection="1">
      <alignment horizontal="center"/>
      <protection locked="0"/>
    </xf>
    <xf numFmtId="0" fontId="20" fillId="0" borderId="0" xfId="22" applyNumberFormat="1" applyFont="1" applyProtection="1">
      <alignment/>
      <protection locked="0"/>
    </xf>
    <xf numFmtId="3" fontId="20" fillId="0" borderId="0" xfId="22" applyNumberFormat="1" applyFont="1">
      <alignment/>
    </xf>
    <xf numFmtId="3" fontId="20" fillId="0" borderId="7" xfId="22" applyNumberFormat="1" applyFont="1" applyBorder="1" applyAlignment="1">
      <alignment horizontal="center"/>
    </xf>
    <xf numFmtId="0" fontId="20" fillId="0" borderId="0" xfId="22" applyNumberFormat="1" applyFont="1">
      <alignment/>
    </xf>
    <xf numFmtId="3" fontId="20" fillId="0" borderId="0" xfId="22" applyNumberFormat="1" applyFont="1" applyAlignment="1">
      <alignment horizontal="center"/>
    </xf>
    <xf numFmtId="0" fontId="20" fillId="0" borderId="7" xfId="22" applyNumberFormat="1" applyFont="1" applyBorder="1" applyAlignment="1" applyProtection="1">
      <alignment horizontal="center"/>
      <protection locked="0"/>
    </xf>
    <xf numFmtId="164" fontId="20" fillId="0" borderId="0" xfId="22" applyFont="1">
      <alignment/>
    </xf>
    <xf numFmtId="43" fontId="20" fillId="4" borderId="0" xfId="18" applyFont="1" applyFill="1" applyAlignment="1">
      <alignment horizontal="center"/>
    </xf>
    <xf numFmtId="43" fontId="20" fillId="4" borderId="0" xfId="18" applyFont="1" applyFill="1"/>
    <xf numFmtId="164" fontId="20" fillId="0" borderId="0" xfId="22" applyFont="1" applyAlignment="1">
      <alignment wrapText="1"/>
    </xf>
    <xf numFmtId="179" fontId="20" fillId="6" borderId="0" xfId="18" applyNumberFormat="1" applyFont="1" applyFill="1"/>
    <xf numFmtId="43" fontId="20" fillId="0" borderId="7" xfId="18" applyFont="1" applyBorder="1"/>
    <xf numFmtId="43" fontId="20" fillId="0" borderId="0" xfId="18" applyFont="1" applyAlignment="1">
      <alignment horizontal="center"/>
    </xf>
    <xf numFmtId="171" fontId="20" fillId="0" borderId="0" xfId="22" applyNumberFormat="1" applyFont="1" applyAlignment="1">
      <alignment horizontal="center"/>
    </xf>
    <xf numFmtId="169" fontId="20" fillId="0" borderId="0" xfId="22" applyNumberFormat="1" applyFont="1" applyAlignment="1">
      <alignment horizontal="left"/>
    </xf>
    <xf numFmtId="43" fontId="20" fillId="0" borderId="0" xfId="18" applyFont="1" applyAlignment="1">
      <alignment horizontal="right"/>
    </xf>
    <xf numFmtId="10" fontId="20" fillId="0" borderId="0" xfId="22" applyNumberFormat="1" applyFont="1" applyAlignment="1">
      <alignment horizontal="left"/>
    </xf>
    <xf numFmtId="3" fontId="20" fillId="0" borderId="0" xfId="23" applyNumberFormat="1" applyFont="1">
      <alignment/>
      <protection/>
    </xf>
    <xf numFmtId="171" fontId="20" fillId="0" borderId="0" xfId="23" applyNumberFormat="1" applyFont="1">
      <alignment/>
      <protection/>
    </xf>
    <xf numFmtId="0" fontId="20" fillId="0" borderId="0" xfId="23" applyFont="1">
      <alignment/>
      <protection/>
    </xf>
    <xf numFmtId="43" fontId="20" fillId="0" borderId="11" xfId="18" applyFont="1" applyBorder="1" applyAlignment="1">
      <alignment horizontal="right"/>
    </xf>
    <xf numFmtId="169" fontId="20" fillId="0" borderId="0" xfId="22" applyNumberFormat="1" applyFont="1" applyAlignment="1" applyProtection="1">
      <alignment horizontal="left"/>
      <protection locked="0"/>
    </xf>
    <xf numFmtId="43" fontId="20" fillId="0" borderId="11" xfId="18" applyFont="1" applyBorder="1"/>
    <xf numFmtId="165" fontId="20" fillId="0" borderId="0" xfId="18" applyNumberFormat="1" applyFont="1" applyAlignment="1">
      <alignment horizontal="left" indent="2"/>
    </xf>
    <xf numFmtId="172" fontId="20" fillId="0" borderId="0" xfId="18" applyNumberFormat="1" applyFont="1"/>
    <xf numFmtId="165" fontId="0" fillId="0" borderId="0" xfId="18" applyNumberFormat="1" applyFont="1" applyAlignment="1">
      <alignment horizontal="center"/>
    </xf>
    <xf numFmtId="43" fontId="3" fillId="2" borderId="12" xfId="18" applyFont="1" applyFill="1" applyBorder="1"/>
    <xf numFmtId="43" fontId="3" fillId="0" borderId="22" xfId="18" applyFont="1" applyBorder="1"/>
    <xf numFmtId="43" fontId="3" fillId="2" borderId="15" xfId="18" applyFont="1" applyFill="1" applyBorder="1"/>
    <xf numFmtId="43" fontId="3" fillId="0" borderId="20" xfId="18" applyFont="1" applyBorder="1" applyAlignment="1">
      <alignment horizontal="center"/>
    </xf>
    <xf numFmtId="43" fontId="3" fillId="2" borderId="22" xfId="18" applyFont="1" applyFill="1" applyBorder="1"/>
    <xf numFmtId="174" fontId="3" fillId="0" borderId="18" xfId="16" applyNumberFormat="1" applyFont="1" applyBorder="1"/>
    <xf numFmtId="164" fontId="3" fillId="0" borderId="0" xfId="20" applyFont="1" applyAlignment="1">
      <alignment horizontal="left" vertical="top" wrapText="1"/>
    </xf>
    <xf numFmtId="0" fontId="7" fillId="0" borderId="0" xfId="20" applyNumberFormat="1" applyFont="1" applyAlignment="1">
      <alignment horizontal="center"/>
    </xf>
    <xf numFmtId="164" fontId="3" fillId="0" borderId="0" xfId="20" applyFont="1" applyAlignment="1">
      <alignment wrapText="1"/>
    </xf>
    <xf numFmtId="37" fontId="3" fillId="0" borderId="0" xfId="24" applyNumberFormat="1" applyFont="1">
      <alignment/>
      <protection/>
    </xf>
    <xf numFmtId="164" fontId="3" fillId="0" borderId="0" xfId="30" applyFont="1">
      <alignment/>
    </xf>
    <xf numFmtId="0" fontId="6" fillId="0" borderId="0" xfId="24" applyFont="1" applyAlignment="1">
      <alignment horizontal="centerContinuous" wrapText="1"/>
      <protection/>
    </xf>
    <xf numFmtId="41" fontId="3" fillId="7" borderId="0" xfId="24" applyNumberFormat="1" applyFont="1" applyFill="1">
      <alignment/>
      <protection/>
    </xf>
    <xf numFmtId="0" fontId="18" fillId="0" borderId="0" xfId="20" applyNumberFormat="1" applyFont="1" applyAlignment="1">
      <alignment horizontal="center"/>
    </xf>
    <xf numFmtId="164" fontId="18" fillId="0" borderId="0" xfId="20" applyFont="1" applyAlignment="1">
      <alignment horizontal="center"/>
    </xf>
    <xf numFmtId="44" fontId="18" fillId="0" borderId="0" xfId="20" applyNumberFormat="1" applyFont="1">
      <alignment/>
    </xf>
    <xf numFmtId="164" fontId="3" fillId="0" borderId="0" xfId="20" applyFont="1" applyAlignment="1">
      <alignment vertical="center" wrapText="1"/>
    </xf>
    <xf numFmtId="164" fontId="3" fillId="0" borderId="0" xfId="20" applyFont="1" applyAlignment="1">
      <alignment horizontal="left" vertical="center"/>
    </xf>
    <xf numFmtId="164" fontId="3" fillId="0" borderId="0" xfId="20" applyFont="1" applyAlignment="1">
      <alignment horizontal="left" vertical="center" wrapText="1"/>
    </xf>
    <xf numFmtId="0" fontId="3" fillId="0" borderId="0" xfId="22" applyNumberFormat="1" applyFont="1" applyProtection="1" quotePrefix="1">
      <alignment/>
      <protection locked="0"/>
    </xf>
    <xf numFmtId="49" fontId="7" fillId="0" borderId="0" xfId="20" applyNumberFormat="1" applyFont="1" applyAlignment="1">
      <alignment horizontal="center"/>
    </xf>
    <xf numFmtId="49" fontId="3" fillId="0" borderId="0" xfId="20" applyNumberFormat="1" applyFont="1" applyAlignment="1">
      <alignment horizontal="center" vertical="center" wrapText="1"/>
    </xf>
    <xf numFmtId="0" fontId="3" fillId="0" borderId="0" xfId="25" applyFont="1" applyAlignment="1">
      <alignment horizontal="center" vertical="center" wrapText="1"/>
      <protection/>
    </xf>
    <xf numFmtId="164" fontId="3" fillId="0" borderId="0" xfId="20" applyFont="1" applyAlignment="1">
      <alignment horizontal="center" vertical="center" wrapText="1"/>
    </xf>
    <xf numFmtId="0" fontId="18" fillId="0" borderId="0" xfId="25" applyFont="1" applyAlignment="1">
      <alignment horizontal="center" vertical="center" wrapText="1"/>
      <protection/>
    </xf>
    <xf numFmtId="0" fontId="3" fillId="0" borderId="0" xfId="25" applyFont="1" applyAlignment="1">
      <alignment horizontal="center"/>
      <protection/>
    </xf>
    <xf numFmtId="0" fontId="18" fillId="0" borderId="0" xfId="25" applyFont="1" applyAlignment="1">
      <alignment horizontal="center"/>
      <protection/>
    </xf>
    <xf numFmtId="0" fontId="3" fillId="0" borderId="0" xfId="25" applyFont="1" applyAlignment="1">
      <alignment horizontal="center" wrapText="1"/>
      <protection/>
    </xf>
    <xf numFmtId="164" fontId="7" fillId="0" borderId="0" xfId="20" applyFont="1" applyAlignment="1">
      <alignment horizontal="center"/>
    </xf>
    <xf numFmtId="0" fontId="3" fillId="0" borderId="0" xfId="25" applyFont="1" applyAlignment="1">
      <alignment wrapText="1"/>
      <protection/>
    </xf>
    <xf numFmtId="0" fontId="3" fillId="0" borderId="0" xfId="25" applyFont="1">
      <alignment/>
      <protection/>
    </xf>
    <xf numFmtId="165" fontId="3" fillId="4" borderId="0" xfId="18" applyNumberFormat="1" applyFont="1" applyFill="1" applyAlignment="1">
      <alignment horizontal="right"/>
    </xf>
    <xf numFmtId="43" fontId="23" fillId="0" borderId="0" xfId="18" applyFont="1"/>
    <xf numFmtId="0" fontId="3" fillId="0" borderId="14" xfId="25" applyFont="1" applyBorder="1">
      <alignment/>
      <protection/>
    </xf>
    <xf numFmtId="165" fontId="3" fillId="0" borderId="14" xfId="16" applyNumberFormat="1" applyFont="1" applyBorder="1" applyAlignment="1">
      <alignment horizontal="right"/>
    </xf>
    <xf numFmtId="174" fontId="3" fillId="0" borderId="14" xfId="16" applyNumberFormat="1" applyFont="1" applyBorder="1"/>
    <xf numFmtId="174" fontId="18" fillId="0" borderId="0" xfId="16" applyNumberFormat="1" applyFont="1"/>
    <xf numFmtId="0" fontId="18" fillId="0" borderId="0" xfId="25" applyFont="1">
      <alignment/>
      <protection/>
    </xf>
    <xf numFmtId="164" fontId="24" fillId="0" borderId="0" xfId="20" applyFont="1" applyAlignment="1">
      <alignment horizontal="center"/>
    </xf>
    <xf numFmtId="0" fontId="24" fillId="0" borderId="0" xfId="25" applyFont="1" applyAlignment="1">
      <alignment horizontal="center"/>
      <protection/>
    </xf>
    <xf numFmtId="165" fontId="3" fillId="3" borderId="0" xfId="18" applyNumberFormat="1" applyFont="1" applyFill="1"/>
    <xf numFmtId="164" fontId="3" fillId="3" borderId="0" xfId="20" applyFont="1" applyFill="1" quotePrefix="1">
      <alignment/>
    </xf>
    <xf numFmtId="167" fontId="3" fillId="3" borderId="0" xfId="15" applyNumberFormat="1" applyFont="1" applyFill="1"/>
    <xf numFmtId="0" fontId="3" fillId="3" borderId="0" xfId="25" applyFont="1" applyFill="1">
      <alignment/>
      <protection/>
    </xf>
    <xf numFmtId="174" fontId="3" fillId="0" borderId="14" xfId="16" applyNumberFormat="1" applyFont="1" applyFill="1" applyBorder="1"/>
    <xf numFmtId="164" fontId="6" fillId="0" borderId="0" xfId="22" applyFont="1" applyAlignment="1">
      <alignment horizontal="center" wrapText="1"/>
    </xf>
    <xf numFmtId="0" fontId="6" fillId="0" borderId="0" xfId="22" applyNumberFormat="1" applyFont="1" applyAlignment="1" applyProtection="1">
      <alignment horizontal="center" wrapText="1"/>
      <protection locked="0"/>
    </xf>
    <xf numFmtId="0" fontId="6" fillId="0" borderId="0" xfId="23" applyFont="1" applyAlignment="1">
      <alignment horizontal="center" vertical="center" wrapText="1"/>
      <protection/>
    </xf>
    <xf numFmtId="0" fontId="6" fillId="0" borderId="0" xfId="22" applyNumberFormat="1" applyFont="1" applyAlignment="1">
      <alignment horizontal="center" wrapText="1"/>
    </xf>
    <xf numFmtId="1" fontId="3" fillId="0" borderId="0" xfId="20" applyNumberFormat="1" applyFont="1" applyAlignment="1">
      <alignment horizontal="center"/>
    </xf>
    <xf numFmtId="3" fontId="20" fillId="0" borderId="0" xfId="20" applyNumberFormat="1" applyFont="1">
      <alignment/>
    </xf>
    <xf numFmtId="3" fontId="20" fillId="0" borderId="7" xfId="20" applyNumberFormat="1" applyFont="1" applyBorder="1" applyAlignment="1">
      <alignment horizontal="center"/>
    </xf>
    <xf numFmtId="43" fontId="3" fillId="0" borderId="0" xfId="25" applyNumberFormat="1" applyFont="1">
      <alignment/>
      <protection/>
    </xf>
    <xf numFmtId="165" fontId="20" fillId="4" borderId="0" xfId="18" applyNumberFormat="1" applyFont="1" applyFill="1"/>
    <xf numFmtId="0" fontId="20" fillId="0" borderId="0" xfId="20" applyNumberFormat="1" applyFont="1" applyProtection="1">
      <alignment/>
      <protection locked="0"/>
    </xf>
    <xf numFmtId="165" fontId="20" fillId="0" borderId="0" xfId="18" applyNumberFormat="1" applyFont="1" applyProtection="1">
      <protection locked="0"/>
    </xf>
    <xf numFmtId="165" fontId="20" fillId="4" borderId="7" xfId="18" applyNumberFormat="1" applyFont="1" applyFill="1" applyBorder="1"/>
    <xf numFmtId="3" fontId="20" fillId="0" borderId="0" xfId="20" applyNumberFormat="1" applyFont="1" applyAlignment="1">
      <alignment horizontal="center"/>
    </xf>
    <xf numFmtId="165" fontId="3" fillId="0" borderId="7" xfId="18" applyNumberFormat="1" applyFont="1" applyBorder="1" applyAlignment="1">
      <alignment horizontal="center"/>
    </xf>
    <xf numFmtId="0" fontId="3" fillId="0" borderId="0" xfId="31" applyFont="1" applyAlignment="1">
      <alignment horizontal="center"/>
      <protection/>
    </xf>
    <xf numFmtId="0" fontId="3" fillId="0" borderId="0" xfId="31" applyFont="1">
      <alignment/>
      <protection/>
    </xf>
    <xf numFmtId="49" fontId="3" fillId="0" borderId="0" xfId="31" applyNumberFormat="1" applyFont="1" applyAlignment="1" quotePrefix="1">
      <alignment horizontal="center"/>
      <protection/>
    </xf>
    <xf numFmtId="0" fontId="3" fillId="0" borderId="11" xfId="31" applyFont="1" applyBorder="1" applyAlignment="1">
      <alignment horizontal="center" vertical="top"/>
      <protection/>
    </xf>
    <xf numFmtId="0" fontId="3" fillId="0" borderId="11" xfId="31" applyFont="1" applyBorder="1" applyAlignment="1">
      <alignment horizontal="center" vertical="top" wrapText="1"/>
      <protection/>
    </xf>
    <xf numFmtId="0" fontId="3" fillId="0" borderId="0" xfId="31" applyFont="1" applyAlignment="1">
      <alignment horizontal="left"/>
      <protection/>
    </xf>
    <xf numFmtId="0" fontId="3" fillId="0" borderId="0" xfId="31" applyFont="1" applyAlignment="1">
      <alignment horizontal="right"/>
      <protection/>
    </xf>
    <xf numFmtId="43" fontId="3" fillId="2" borderId="0" xfId="18" applyFont="1" applyFill="1" applyAlignment="1">
      <alignment horizontal="center"/>
    </xf>
    <xf numFmtId="43" fontId="3" fillId="0" borderId="0" xfId="31" applyNumberFormat="1" applyFont="1">
      <alignment/>
      <protection/>
    </xf>
    <xf numFmtId="9" fontId="3" fillId="0" borderId="0" xfId="31" applyNumberFormat="1" applyFont="1" applyAlignment="1">
      <alignment horizontal="left"/>
      <protection/>
    </xf>
    <xf numFmtId="0" fontId="12" fillId="0" borderId="0" xfId="31" applyFont="1">
      <alignment/>
      <protection/>
    </xf>
    <xf numFmtId="0" fontId="12" fillId="0" borderId="0" xfId="31" applyFont="1" applyAlignment="1">
      <alignment horizontal="left"/>
      <protection/>
    </xf>
    <xf numFmtId="0" fontId="12" fillId="0" borderId="0" xfId="31" applyFont="1" applyAlignment="1">
      <alignment horizontal="center"/>
      <protection/>
    </xf>
    <xf numFmtId="0" fontId="12" fillId="0" borderId="11" xfId="31" applyFont="1" applyBorder="1" applyAlignment="1">
      <alignment horizontal="right" vertical="top"/>
      <protection/>
    </xf>
    <xf numFmtId="0" fontId="12" fillId="0" borderId="11" xfId="31" applyFont="1" applyBorder="1" applyAlignment="1">
      <alignment horizontal="center" vertical="top" wrapText="1"/>
      <protection/>
    </xf>
    <xf numFmtId="43" fontId="12" fillId="0" borderId="0" xfId="18" applyFont="1"/>
    <xf numFmtId="0" fontId="12" fillId="0" borderId="0" xfId="31" applyFont="1" applyAlignment="1">
      <alignment horizontal="right"/>
      <protection/>
    </xf>
    <xf numFmtId="0" fontId="12" fillId="2" borderId="0" xfId="18" applyNumberFormat="1" applyFont="1" applyFill="1" applyAlignment="1">
      <alignment horizontal="center"/>
    </xf>
    <xf numFmtId="10" fontId="12" fillId="0" borderId="0" xfId="15" applyNumberFormat="1" applyFont="1"/>
    <xf numFmtId="165" fontId="12" fillId="0" borderId="0" xfId="18" applyNumberFormat="1" applyFont="1"/>
    <xf numFmtId="165" fontId="12" fillId="0" borderId="0" xfId="31" applyNumberFormat="1" applyFont="1">
      <alignment/>
      <protection/>
    </xf>
    <xf numFmtId="165" fontId="12" fillId="2" borderId="0" xfId="18" applyNumberFormat="1" applyFont="1" applyFill="1"/>
    <xf numFmtId="0" fontId="25" fillId="0" borderId="0" xfId="31" applyFont="1">
      <alignment/>
      <protection/>
    </xf>
    <xf numFmtId="41" fontId="12" fillId="0" borderId="0" xfId="31" applyNumberFormat="1" applyFont="1" applyAlignment="1">
      <alignment horizontal="center"/>
      <protection/>
    </xf>
    <xf numFmtId="0" fontId="25" fillId="0" borderId="0" xfId="31" applyFont="1" applyAlignment="1">
      <alignment horizontal="right"/>
      <protection/>
    </xf>
    <xf numFmtId="41" fontId="25" fillId="0" borderId="0" xfId="31" applyNumberFormat="1" applyFont="1" applyAlignment="1">
      <alignment horizontal="center"/>
      <protection/>
    </xf>
    <xf numFmtId="0" fontId="3" fillId="0" borderId="11" xfId="31" applyFont="1" applyBorder="1" applyAlignment="1">
      <alignment horizontal="center"/>
      <protection/>
    </xf>
    <xf numFmtId="0" fontId="3" fillId="0" borderId="11" xfId="31" applyFont="1" applyBorder="1">
      <alignment/>
      <protection/>
    </xf>
    <xf numFmtId="0" fontId="3" fillId="0" borderId="11" xfId="31" applyFont="1" applyBorder="1" applyAlignment="1">
      <alignment horizontal="center" wrapText="1"/>
      <protection/>
    </xf>
    <xf numFmtId="37" fontId="3" fillId="0" borderId="0" xfId="31" applyNumberFormat="1" applyFont="1">
      <alignment/>
      <protection/>
    </xf>
    <xf numFmtId="0" fontId="3" fillId="0" borderId="0" xfId="31" applyFont="1" applyAlignment="1">
      <alignment horizontal="center" wrapText="1"/>
      <protection/>
    </xf>
    <xf numFmtId="0" fontId="3" fillId="4" borderId="30" xfId="31" applyFont="1" applyFill="1" applyBorder="1">
      <alignment/>
      <protection/>
    </xf>
    <xf numFmtId="41" fontId="3" fillId="4" borderId="21" xfId="31" applyNumberFormat="1" applyFont="1" applyFill="1" applyBorder="1">
      <alignment/>
      <protection/>
    </xf>
    <xf numFmtId="41" fontId="3" fillId="4" borderId="21" xfId="32" applyFont="1" applyFill="1" applyBorder="1"/>
    <xf numFmtId="0" fontId="3" fillId="4" borderId="31" xfId="31" applyFont="1" applyFill="1" applyBorder="1" applyAlignment="1">
      <alignment wrapText="1"/>
      <protection/>
    </xf>
    <xf numFmtId="0" fontId="3" fillId="4" borderId="30" xfId="31" applyFont="1" applyFill="1" applyBorder="1" applyAlignment="1">
      <alignment wrapText="1"/>
      <protection/>
    </xf>
    <xf numFmtId="0" fontId="12" fillId="0" borderId="30" xfId="31" applyFont="1" applyBorder="1" applyAlignment="1">
      <alignment wrapText="1"/>
      <protection/>
    </xf>
    <xf numFmtId="0" fontId="3" fillId="4" borderId="21" xfId="31" applyFont="1" applyFill="1" applyBorder="1">
      <alignment/>
      <protection/>
    </xf>
    <xf numFmtId="0" fontId="3" fillId="0" borderId="32" xfId="31" applyFont="1" applyBorder="1">
      <alignment/>
      <protection/>
    </xf>
    <xf numFmtId="165" fontId="3" fillId="0" borderId="21" xfId="18" applyNumberFormat="1" applyFont="1" applyBorder="1"/>
    <xf numFmtId="37" fontId="3" fillId="0" borderId="31" xfId="31" applyNumberFormat="1" applyFont="1" applyBorder="1" applyAlignment="1">
      <alignment wrapText="1"/>
      <protection/>
    </xf>
    <xf numFmtId="0" fontId="3" fillId="0" borderId="33" xfId="31" applyFont="1" applyBorder="1">
      <alignment/>
      <protection/>
    </xf>
    <xf numFmtId="165" fontId="3" fillId="4" borderId="21" xfId="18" applyNumberFormat="1" applyFont="1" applyFill="1" applyBorder="1"/>
    <xf numFmtId="165" fontId="3" fillId="4" borderId="21" xfId="18" applyNumberFormat="1" applyFont="1" applyFill="1" applyBorder="1" applyAlignment="1">
      <alignment horizontal="right"/>
    </xf>
    <xf numFmtId="165" fontId="3" fillId="4" borderId="21" xfId="18" applyNumberFormat="1" applyFont="1" applyFill="1" applyBorder="1" applyAlignment="1">
      <alignment horizontal="center"/>
    </xf>
    <xf numFmtId="0" fontId="3" fillId="0" borderId="34" xfId="31" applyFont="1" applyBorder="1">
      <alignment/>
      <protection/>
    </xf>
    <xf numFmtId="165" fontId="3" fillId="4" borderId="13" xfId="18" applyNumberFormat="1" applyFont="1" applyFill="1" applyBorder="1"/>
    <xf numFmtId="0" fontId="3" fillId="4" borderId="35" xfId="31" applyFont="1" applyFill="1" applyBorder="1" applyAlignment="1">
      <alignment wrapText="1"/>
      <protection/>
    </xf>
    <xf numFmtId="0" fontId="3" fillId="0" borderId="36" xfId="31" applyFont="1" applyBorder="1">
      <alignment/>
      <protection/>
    </xf>
    <xf numFmtId="165" fontId="3" fillId="0" borderId="37" xfId="18" applyNumberFormat="1" applyFont="1" applyBorder="1"/>
    <xf numFmtId="0" fontId="3" fillId="0" borderId="38" xfId="31" applyFont="1" applyBorder="1" applyAlignment="1">
      <alignment wrapText="1"/>
      <protection/>
    </xf>
    <xf numFmtId="37" fontId="3" fillId="0" borderId="0" xfId="31" applyNumberFormat="1" applyFont="1" applyAlignment="1">
      <alignment horizontal="center"/>
      <protection/>
    </xf>
    <xf numFmtId="37" fontId="3" fillId="0" borderId="0" xfId="31" applyNumberFormat="1" applyFont="1" applyAlignment="1">
      <alignment wrapText="1"/>
      <protection/>
    </xf>
    <xf numFmtId="0" fontId="3" fillId="0" borderId="0" xfId="31" applyFont="1" applyAlignment="1">
      <alignment wrapText="1"/>
      <protection/>
    </xf>
    <xf numFmtId="37" fontId="3" fillId="4" borderId="21" xfId="31" applyNumberFormat="1" applyFont="1" applyFill="1" applyBorder="1">
      <alignment/>
      <protection/>
    </xf>
    <xf numFmtId="0" fontId="3" fillId="0" borderId="30" xfId="31" applyFont="1" applyBorder="1">
      <alignment/>
      <protection/>
    </xf>
    <xf numFmtId="0" fontId="3" fillId="0" borderId="39" xfId="31" applyFont="1" applyBorder="1">
      <alignment/>
      <protection/>
    </xf>
    <xf numFmtId="0" fontId="3" fillId="4" borderId="30" xfId="33" applyFont="1" applyFill="1" applyBorder="1">
      <alignment/>
      <protection/>
    </xf>
    <xf numFmtId="0" fontId="3" fillId="0" borderId="40" xfId="31" applyFont="1" applyBorder="1">
      <alignment/>
      <protection/>
    </xf>
    <xf numFmtId="165" fontId="3" fillId="4" borderId="13" xfId="18" applyNumberFormat="1" applyFont="1" applyFill="1" applyBorder="1" applyAlignment="1">
      <alignment horizontal="right"/>
    </xf>
    <xf numFmtId="165" fontId="3" fillId="0" borderId="37" xfId="18" applyNumberFormat="1" applyFont="1" applyBorder="1" applyAlignment="1">
      <alignment horizontal="right"/>
    </xf>
    <xf numFmtId="165" fontId="3" fillId="0" borderId="0" xfId="31" applyNumberFormat="1" applyFont="1" applyAlignment="1">
      <alignment wrapText="1"/>
      <protection/>
    </xf>
    <xf numFmtId="165" fontId="3" fillId="0" borderId="0" xfId="31" applyNumberFormat="1" applyFont="1">
      <alignment/>
      <protection/>
    </xf>
    <xf numFmtId="0" fontId="3" fillId="0" borderId="4" xfId="31" applyFont="1" applyBorder="1" applyAlignment="1">
      <alignment horizontal="center"/>
      <protection/>
    </xf>
    <xf numFmtId="0" fontId="3" fillId="0" borderId="5" xfId="31" applyFont="1" applyBorder="1" applyAlignment="1">
      <alignment horizontal="center"/>
      <protection/>
    </xf>
    <xf numFmtId="0" fontId="3" fillId="0" borderId="11" xfId="31" applyFont="1" applyBorder="1" applyAlignment="1">
      <alignment horizontal="right" vertical="top"/>
      <protection/>
    </xf>
    <xf numFmtId="0" fontId="3" fillId="0" borderId="26" xfId="31" applyFont="1" applyBorder="1" applyAlignment="1">
      <alignment horizontal="center" vertical="top" wrapText="1"/>
      <protection/>
    </xf>
    <xf numFmtId="0" fontId="3" fillId="0" borderId="27" xfId="31" applyFont="1" applyBorder="1" applyAlignment="1">
      <alignment horizontal="center" vertical="top" wrapText="1"/>
      <protection/>
    </xf>
    <xf numFmtId="0" fontId="3" fillId="0" borderId="4" xfId="31" applyFont="1" applyBorder="1">
      <alignment/>
      <protection/>
    </xf>
    <xf numFmtId="0" fontId="3" fillId="0" borderId="5" xfId="31" applyFont="1" applyBorder="1">
      <alignment/>
      <protection/>
    </xf>
    <xf numFmtId="165" fontId="3" fillId="0" borderId="4" xfId="18" applyNumberFormat="1" applyFont="1" applyBorder="1"/>
    <xf numFmtId="165" fontId="3" fillId="0" borderId="11" xfId="18" applyNumberFormat="1" applyFont="1" applyBorder="1"/>
    <xf numFmtId="165" fontId="3" fillId="0" borderId="27" xfId="18" applyNumberFormat="1" applyFont="1" applyBorder="1"/>
    <xf numFmtId="165" fontId="3" fillId="0" borderId="14" xfId="18" applyNumberFormat="1" applyFont="1" applyBorder="1"/>
    <xf numFmtId="165" fontId="3" fillId="0" borderId="6" xfId="18" applyNumberFormat="1" applyFont="1" applyBorder="1"/>
    <xf numFmtId="0" fontId="6" fillId="0" borderId="0" xfId="31" applyFont="1">
      <alignment/>
      <protection/>
    </xf>
    <xf numFmtId="41" fontId="3" fillId="0" borderId="0" xfId="31" applyNumberFormat="1" applyFont="1" applyAlignment="1">
      <alignment horizontal="center"/>
      <protection/>
    </xf>
    <xf numFmtId="0" fontId="6" fillId="0" borderId="0" xfId="31" applyFont="1" applyAlignment="1">
      <alignment horizontal="right"/>
      <protection/>
    </xf>
    <xf numFmtId="0" fontId="25" fillId="0" borderId="0" xfId="34" applyFont="1" applyAlignment="1">
      <alignment horizontal="centerContinuous"/>
      <protection/>
    </xf>
    <xf numFmtId="183" fontId="12" fillId="0" borderId="0" xfId="35" applyFont="1" applyAlignment="1">
      <alignment horizontal="centerContinuous"/>
      <protection/>
    </xf>
    <xf numFmtId="183" fontId="3" fillId="0" borderId="0" xfId="35">
      <alignment/>
      <protection/>
    </xf>
    <xf numFmtId="184" fontId="25" fillId="0" borderId="0" xfId="34" applyNumberFormat="1" applyFont="1" applyAlignment="1">
      <alignment horizontal="centerContinuous"/>
      <protection/>
    </xf>
    <xf numFmtId="184" fontId="25" fillId="8" borderId="0" xfId="34" applyNumberFormat="1" applyFont="1" applyFill="1" applyAlignment="1">
      <alignment horizontal="centerContinuous"/>
      <protection/>
    </xf>
    <xf numFmtId="184" fontId="25" fillId="0" borderId="0" xfId="34" applyNumberFormat="1" applyFont="1" applyAlignment="1">
      <alignment horizontal="left"/>
      <protection/>
    </xf>
    <xf numFmtId="0" fontId="27" fillId="0" borderId="0" xfId="34" applyFont="1">
      <alignment/>
      <protection/>
    </xf>
    <xf numFmtId="0" fontId="27" fillId="0" borderId="0" xfId="34" applyFont="1" applyAlignment="1">
      <alignment horizontal="center"/>
      <protection/>
    </xf>
    <xf numFmtId="183" fontId="12" fillId="0" borderId="0" xfId="35" applyFont="1">
      <alignment/>
      <protection/>
    </xf>
    <xf numFmtId="0" fontId="27" fillId="0" borderId="0" xfId="34" applyFont="1" applyAlignment="1">
      <alignment horizontal="left"/>
      <protection/>
    </xf>
    <xf numFmtId="165" fontId="12" fillId="0" borderId="0" xfId="36" applyNumberFormat="1" applyFont="1" applyAlignment="1">
      <alignment horizontal="center"/>
    </xf>
    <xf numFmtId="0" fontId="12" fillId="0" borderId="0" xfId="37" applyFont="1" applyAlignment="1">
      <alignment horizontal="center"/>
      <protection/>
    </xf>
    <xf numFmtId="0" fontId="27" fillId="0" borderId="0" xfId="37" applyFont="1" applyAlignment="1">
      <alignment horizontal="center"/>
      <protection/>
    </xf>
    <xf numFmtId="0" fontId="27" fillId="0" borderId="0" xfId="37" applyFont="1" applyAlignment="1">
      <alignment horizontal="center" wrapText="1"/>
      <protection/>
    </xf>
    <xf numFmtId="0" fontId="27" fillId="0" borderId="0" xfId="34" applyFont="1" applyAlignment="1">
      <alignment horizontal="center" wrapText="1"/>
      <protection/>
    </xf>
    <xf numFmtId="0" fontId="28" fillId="0" borderId="0" xfId="34" applyFont="1" applyAlignment="1">
      <alignment horizontal="center"/>
      <protection/>
    </xf>
    <xf numFmtId="0" fontId="25" fillId="0" borderId="41" xfId="34" applyFont="1" applyBorder="1" applyAlignment="1">
      <alignment horizontal="center"/>
      <protection/>
    </xf>
    <xf numFmtId="0" fontId="25" fillId="0" borderId="41" xfId="34" applyFont="1" applyBorder="1">
      <alignment/>
      <protection/>
    </xf>
    <xf numFmtId="0" fontId="25" fillId="0" borderId="19" xfId="34" applyFont="1" applyBorder="1" applyAlignment="1">
      <alignment horizontal="center"/>
      <protection/>
    </xf>
    <xf numFmtId="0" fontId="25" fillId="0" borderId="0" xfId="34" applyFont="1" applyAlignment="1">
      <alignment horizontal="center"/>
      <protection/>
    </xf>
    <xf numFmtId="0" fontId="25" fillId="0" borderId="20" xfId="34" applyFont="1" applyBorder="1" applyAlignment="1">
      <alignment horizontal="center"/>
      <protection/>
    </xf>
    <xf numFmtId="0" fontId="25" fillId="0" borderId="22" xfId="34" applyFont="1" applyBorder="1" applyAlignment="1">
      <alignment horizontal="center"/>
      <protection/>
    </xf>
    <xf numFmtId="0" fontId="25" fillId="0" borderId="13" xfId="34" applyFont="1" applyBorder="1" applyAlignment="1">
      <alignment horizontal="center"/>
      <protection/>
    </xf>
    <xf numFmtId="0" fontId="29" fillId="0" borderId="15" xfId="34" applyFont="1" applyBorder="1" applyAlignment="1">
      <alignment horizontal="center"/>
      <protection/>
    </xf>
    <xf numFmtId="0" fontId="27" fillId="0" borderId="13" xfId="34" applyFont="1" applyBorder="1">
      <alignment/>
      <protection/>
    </xf>
    <xf numFmtId="0" fontId="25" fillId="0" borderId="11" xfId="34" applyFont="1" applyBorder="1" applyAlignment="1">
      <alignment wrapText="1"/>
      <protection/>
    </xf>
    <xf numFmtId="0" fontId="25" fillId="0" borderId="11" xfId="34" applyFont="1" applyBorder="1">
      <alignment/>
      <protection/>
    </xf>
    <xf numFmtId="0" fontId="25" fillId="0" borderId="0" xfId="34" applyFont="1">
      <alignment/>
      <protection/>
    </xf>
    <xf numFmtId="0" fontId="25" fillId="0" borderId="16" xfId="34" applyFont="1" applyBorder="1" applyAlignment="1">
      <alignment horizontal="center" wrapText="1"/>
      <protection/>
    </xf>
    <xf numFmtId="0" fontId="28" fillId="0" borderId="11" xfId="34" applyFont="1" applyBorder="1">
      <alignment/>
      <protection/>
    </xf>
    <xf numFmtId="0" fontId="25" fillId="0" borderId="16" xfId="34" applyFont="1" applyBorder="1" applyAlignment="1">
      <alignment horizontal="center"/>
      <protection/>
    </xf>
    <xf numFmtId="0" fontId="28" fillId="0" borderId="11" xfId="34" applyFont="1" applyBorder="1" applyAlignment="1">
      <alignment horizontal="center"/>
      <protection/>
    </xf>
    <xf numFmtId="0" fontId="25" fillId="0" borderId="18" xfId="34" applyFont="1" applyBorder="1" applyAlignment="1">
      <alignment horizontal="center"/>
      <protection/>
    </xf>
    <xf numFmtId="0" fontId="25" fillId="0" borderId="11" xfId="34" applyFont="1" applyBorder="1" applyAlignment="1">
      <alignment horizontal="center"/>
      <protection/>
    </xf>
    <xf numFmtId="0" fontId="25" fillId="0" borderId="17" xfId="34" applyFont="1" applyBorder="1" applyAlignment="1">
      <alignment horizontal="center"/>
      <protection/>
    </xf>
    <xf numFmtId="0" fontId="25" fillId="0" borderId="17" xfId="34" applyFont="1" applyBorder="1" applyAlignment="1">
      <alignment horizontal="center" wrapText="1"/>
      <protection/>
    </xf>
    <xf numFmtId="0" fontId="25" fillId="0" borderId="21" xfId="34" applyFont="1" applyBorder="1" applyAlignment="1">
      <alignment horizontal="center"/>
      <protection/>
    </xf>
    <xf numFmtId="0" fontId="25" fillId="0" borderId="17" xfId="36" applyNumberFormat="1" applyFont="1" applyBorder="1" applyAlignment="1">
      <alignment horizontal="center" wrapText="1"/>
    </xf>
    <xf numFmtId="37" fontId="30" fillId="0" borderId="0" xfId="34" applyNumberFormat="1" applyFont="1">
      <alignment/>
      <protection/>
    </xf>
    <xf numFmtId="37" fontId="31" fillId="0" borderId="0" xfId="34" applyNumberFormat="1" applyFont="1">
      <alignment/>
      <protection/>
    </xf>
    <xf numFmtId="0" fontId="28" fillId="0" borderId="0" xfId="34" applyFont="1">
      <alignment/>
      <protection/>
    </xf>
    <xf numFmtId="0" fontId="27" fillId="0" borderId="0" xfId="38" applyFont="1" applyAlignment="1">
      <alignment horizontal="center"/>
      <protection/>
    </xf>
    <xf numFmtId="37" fontId="27" fillId="8" borderId="0" xfId="39" applyNumberFormat="1" applyFont="1" applyFill="1">
      <alignment/>
      <protection/>
    </xf>
    <xf numFmtId="37" fontId="27" fillId="0" borderId="0" xfId="39" applyNumberFormat="1" applyFont="1">
      <alignment/>
      <protection/>
    </xf>
    <xf numFmtId="0" fontId="12" fillId="8" borderId="0" xfId="37" applyFont="1" applyFill="1" applyAlignment="1">
      <alignment horizontal="center"/>
      <protection/>
    </xf>
    <xf numFmtId="37" fontId="27" fillId="8" borderId="0" xfId="39" applyNumberFormat="1" applyFont="1" applyFill="1" applyAlignment="1">
      <alignment horizontal="center"/>
      <protection/>
    </xf>
    <xf numFmtId="165" fontId="12" fillId="8" borderId="0" xfId="36" applyNumberFormat="1" applyFont="1" applyFill="1"/>
    <xf numFmtId="165" fontId="12" fillId="0" borderId="0" xfId="36" applyNumberFormat="1" applyFont="1"/>
    <xf numFmtId="165" fontId="27" fillId="0" borderId="0" xfId="36" applyNumberFormat="1" applyFont="1"/>
    <xf numFmtId="165" fontId="27" fillId="8" borderId="0" xfId="36" applyNumberFormat="1" applyFont="1" applyFill="1" applyAlignment="1">
      <alignment horizontal="center"/>
    </xf>
    <xf numFmtId="183" fontId="3" fillId="8" borderId="0" xfId="35" applyFill="1">
      <alignment/>
      <protection/>
    </xf>
    <xf numFmtId="165" fontId="27" fillId="0" borderId="0" xfId="36" applyNumberFormat="1" applyFont="1" applyAlignment="1">
      <alignment horizontal="center"/>
    </xf>
    <xf numFmtId="175" fontId="27" fillId="8" borderId="0" xfId="36" applyNumberFormat="1" applyFont="1" applyFill="1" applyAlignment="1" quotePrefix="1">
      <alignment horizontal="center"/>
    </xf>
    <xf numFmtId="0" fontId="27" fillId="8" borderId="0" xfId="34" applyFont="1" applyFill="1">
      <alignment/>
      <protection/>
    </xf>
    <xf numFmtId="165" fontId="12" fillId="8" borderId="0" xfId="36" applyNumberFormat="1" applyFont="1" applyFill="1" applyAlignment="1">
      <alignment horizontal="center" vertical="center"/>
    </xf>
    <xf numFmtId="165" fontId="27" fillId="8" borderId="0" xfId="36" applyNumberFormat="1" applyFont="1" applyFill="1" applyAlignment="1">
      <alignment horizontal="center" vertical="center"/>
    </xf>
    <xf numFmtId="165" fontId="12" fillId="8" borderId="11" xfId="36" applyNumberFormat="1" applyFont="1" applyFill="1" applyBorder="1"/>
    <xf numFmtId="165" fontId="12" fillId="8" borderId="0" xfId="36" applyNumberFormat="1" applyFont="1" applyFill="1" applyAlignment="1">
      <alignment horizontal="center"/>
    </xf>
    <xf numFmtId="37" fontId="27" fillId="0" borderId="0" xfId="34" applyNumberFormat="1" applyFont="1">
      <alignment/>
      <protection/>
    </xf>
    <xf numFmtId="37" fontId="32" fillId="0" borderId="0" xfId="34" applyNumberFormat="1" applyFont="1">
      <alignment/>
      <protection/>
    </xf>
    <xf numFmtId="165" fontId="27" fillId="0" borderId="0" xfId="36" applyNumberFormat="1" applyFont="1" applyAlignment="1">
      <alignment horizontal="center" vertical="center"/>
    </xf>
    <xf numFmtId="37" fontId="12" fillId="0" borderId="0" xfId="34" applyNumberFormat="1" applyFont="1" applyAlignment="1">
      <alignment horizontal="center"/>
      <protection/>
    </xf>
    <xf numFmtId="49" fontId="27" fillId="0" borderId="0" xfId="36" applyNumberFormat="1" applyFont="1" applyAlignment="1">
      <alignment horizontal="center"/>
    </xf>
    <xf numFmtId="37" fontId="27" fillId="0" borderId="0" xfId="34" applyNumberFormat="1" applyFont="1" applyAlignment="1">
      <alignment horizontal="center"/>
      <protection/>
    </xf>
    <xf numFmtId="165" fontId="27" fillId="0" borderId="0" xfId="34" applyNumberFormat="1" applyFont="1">
      <alignment/>
      <protection/>
    </xf>
    <xf numFmtId="37" fontId="33" fillId="0" borderId="0" xfId="34" applyNumberFormat="1" applyFont="1">
      <alignment/>
      <protection/>
    </xf>
    <xf numFmtId="0" fontId="28" fillId="8" borderId="0" xfId="34" applyFont="1" applyFill="1" applyAlignment="1">
      <alignment horizontal="center"/>
      <protection/>
    </xf>
    <xf numFmtId="37" fontId="27" fillId="8" borderId="0" xfId="34" applyNumberFormat="1" applyFont="1" applyFill="1">
      <alignment/>
      <protection/>
    </xf>
    <xf numFmtId="165" fontId="27" fillId="8" borderId="11" xfId="36" applyNumberFormat="1" applyFont="1" applyFill="1" applyBorder="1"/>
    <xf numFmtId="165" fontId="27" fillId="8" borderId="11" xfId="34" applyNumberFormat="1" applyFont="1" applyFill="1" applyBorder="1">
      <alignment/>
      <protection/>
    </xf>
    <xf numFmtId="0" fontId="27" fillId="8" borderId="11" xfId="34" applyFont="1" applyFill="1" applyBorder="1">
      <alignment/>
      <protection/>
    </xf>
    <xf numFmtId="37" fontId="25" fillId="0" borderId="0" xfId="34" applyNumberFormat="1" applyFont="1" applyAlignment="1">
      <alignment horizontal="center" vertical="center"/>
      <protection/>
    </xf>
    <xf numFmtId="37" fontId="27" fillId="8" borderId="0" xfId="36" applyNumberFormat="1" applyFont="1" applyFill="1" applyAlignment="1">
      <alignment horizontal="center"/>
    </xf>
    <xf numFmtId="37" fontId="32" fillId="0" borderId="0" xfId="34" applyNumberFormat="1" applyFont="1" applyAlignment="1">
      <alignment horizontal="center"/>
      <protection/>
    </xf>
    <xf numFmtId="43" fontId="27" fillId="0" borderId="0" xfId="36" applyFont="1"/>
    <xf numFmtId="165" fontId="34" fillId="0" borderId="0" xfId="36" applyNumberFormat="1" applyFont="1"/>
    <xf numFmtId="37" fontId="25" fillId="0" borderId="0" xfId="34" applyNumberFormat="1" applyFont="1">
      <alignment/>
      <protection/>
    </xf>
    <xf numFmtId="37" fontId="25" fillId="0" borderId="0" xfId="34" applyNumberFormat="1" applyFont="1" applyAlignment="1">
      <alignment horizontal="center"/>
      <protection/>
    </xf>
    <xf numFmtId="165" fontId="12" fillId="0" borderId="10" xfId="36" applyNumberFormat="1" applyFont="1" applyBorder="1"/>
    <xf numFmtId="165" fontId="35" fillId="0" borderId="0" xfId="36" applyNumberFormat="1" applyFont="1"/>
    <xf numFmtId="165" fontId="35" fillId="0" borderId="0" xfId="36" applyNumberFormat="1" applyFont="1" applyAlignment="1">
      <alignment horizontal="center"/>
    </xf>
    <xf numFmtId="165" fontId="27" fillId="0" borderId="10" xfId="36" applyNumberFormat="1" applyFont="1" applyBorder="1"/>
    <xf numFmtId="0" fontId="33" fillId="0" borderId="0" xfId="34" applyFont="1">
      <alignment/>
      <protection/>
    </xf>
    <xf numFmtId="0" fontId="27" fillId="0" borderId="0" xfId="34" applyFont="1" applyAlignment="1">
      <alignment horizontal="centerContinuous"/>
      <protection/>
    </xf>
    <xf numFmtId="165" fontId="27" fillId="0" borderId="0" xfId="18" applyNumberFormat="1" applyFont="1"/>
    <xf numFmtId="164" fontId="36" fillId="0" borderId="0" xfId="20" applyFont="1">
      <alignment/>
    </xf>
    <xf numFmtId="175" fontId="27" fillId="0" borderId="0" xfId="36" applyNumberFormat="1" applyFont="1" applyAlignment="1" quotePrefix="1">
      <alignment horizontal="center"/>
    </xf>
    <xf numFmtId="0" fontId="27" fillId="0" borderId="0" xfId="34" applyFont="1" applyAlignment="1" quotePrefix="1">
      <alignment horizontal="center"/>
      <protection/>
    </xf>
    <xf numFmtId="165" fontId="27" fillId="0" borderId="10" xfId="18" applyNumberFormat="1" applyFont="1" applyBorder="1"/>
    <xf numFmtId="165" fontId="27" fillId="0" borderId="10" xfId="18" applyNumberFormat="1" applyFont="1" applyFill="1" applyBorder="1"/>
    <xf numFmtId="0" fontId="31" fillId="0" borderId="0" xfId="38" applyFont="1" applyAlignment="1">
      <alignment horizontal="center"/>
      <protection/>
    </xf>
    <xf numFmtId="0" fontId="12" fillId="0" borderId="0" xfId="38" applyFont="1">
      <alignment/>
      <protection/>
    </xf>
    <xf numFmtId="0" fontId="12" fillId="0" borderId="0" xfId="38" applyFont="1" applyAlignment="1">
      <alignment horizontal="center"/>
      <protection/>
    </xf>
    <xf numFmtId="0" fontId="12" fillId="0" borderId="0" xfId="38" applyFont="1" applyAlignment="1">
      <alignment horizontal="center" vertical="top"/>
      <protection/>
    </xf>
    <xf numFmtId="0" fontId="27" fillId="0" borderId="0" xfId="34" applyFont="1" applyAlignment="1">
      <alignment vertical="top"/>
      <protection/>
    </xf>
    <xf numFmtId="0" fontId="12" fillId="0" borderId="0" xfId="38" applyFont="1" applyAlignment="1">
      <alignment vertical="top"/>
      <protection/>
    </xf>
    <xf numFmtId="0" fontId="27" fillId="0" borderId="0" xfId="34" applyFont="1" applyAlignment="1">
      <alignment horizontal="center" vertical="top"/>
      <protection/>
    </xf>
    <xf numFmtId="165" fontId="27" fillId="0" borderId="0" xfId="36" applyNumberFormat="1" applyFont="1" applyAlignment="1">
      <alignment vertical="top"/>
    </xf>
    <xf numFmtId="0" fontId="27" fillId="0" borderId="0" xfId="37" applyFont="1" applyAlignment="1">
      <alignment vertical="top"/>
      <protection/>
    </xf>
    <xf numFmtId="0" fontId="12" fillId="0" borderId="0" xfId="37" applyFont="1" applyAlignment="1">
      <alignment vertical="top"/>
      <protection/>
    </xf>
    <xf numFmtId="0" fontId="12" fillId="0" borderId="0" xfId="37" applyFont="1" applyAlignment="1">
      <alignment horizontal="center" vertical="top"/>
      <protection/>
    </xf>
    <xf numFmtId="0" fontId="12" fillId="0" borderId="0" xfId="38" applyFont="1" applyAlignment="1">
      <alignment vertical="top" wrapText="1"/>
      <protection/>
    </xf>
    <xf numFmtId="0" fontId="12" fillId="0" borderId="0" xfId="38" applyFont="1" applyAlignment="1">
      <alignment horizontal="center" vertical="top" wrapText="1"/>
      <protection/>
    </xf>
    <xf numFmtId="0" fontId="27" fillId="0" borderId="0" xfId="37" applyFont="1" applyAlignment="1">
      <alignment horizontal="center" vertical="top"/>
      <protection/>
    </xf>
    <xf numFmtId="0" fontId="27" fillId="0" borderId="0" xfId="38" applyFont="1" applyAlignment="1">
      <alignment horizontal="center" vertical="top"/>
      <protection/>
    </xf>
    <xf numFmtId="0" fontId="34" fillId="0" borderId="0" xfId="34" applyFont="1">
      <alignment/>
      <protection/>
    </xf>
    <xf numFmtId="0" fontId="34" fillId="0" borderId="0" xfId="34" applyFont="1" applyAlignment="1">
      <alignment horizontal="center"/>
      <protection/>
    </xf>
    <xf numFmtId="165" fontId="34" fillId="0" borderId="0" xfId="40" applyNumberFormat="1" applyFont="1"/>
    <xf numFmtId="0" fontId="34" fillId="8" borderId="0" xfId="34" applyFont="1" applyFill="1" applyAlignment="1">
      <alignment horizontal="center"/>
      <protection/>
    </xf>
    <xf numFmtId="0" fontId="34" fillId="8" borderId="0" xfId="34" applyFont="1" applyFill="1">
      <alignment/>
      <protection/>
    </xf>
    <xf numFmtId="0" fontId="38" fillId="0" borderId="0" xfId="41" applyFont="1">
      <alignment/>
      <protection/>
    </xf>
    <xf numFmtId="0" fontId="0" fillId="0" borderId="0" xfId="41">
      <alignment/>
      <protection/>
    </xf>
    <xf numFmtId="0" fontId="39" fillId="0" borderId="0" xfId="41" applyFont="1">
      <alignment/>
      <protection/>
    </xf>
    <xf numFmtId="0" fontId="40" fillId="0" borderId="0" xfId="41" applyFont="1">
      <alignment/>
      <protection/>
    </xf>
    <xf numFmtId="0" fontId="38" fillId="0" borderId="0" xfId="41" applyFont="1" applyAlignment="1">
      <alignment vertical="center"/>
      <protection/>
    </xf>
    <xf numFmtId="0" fontId="41" fillId="8" borderId="0" xfId="41" applyFont="1" applyFill="1">
      <alignment/>
      <protection/>
    </xf>
    <xf numFmtId="0" fontId="0" fillId="8" borderId="0" xfId="41" applyFill="1">
      <alignment/>
      <protection/>
    </xf>
    <xf numFmtId="0" fontId="41" fillId="0" borderId="0" xfId="41" applyFont="1">
      <alignment/>
      <protection/>
    </xf>
    <xf numFmtId="0" fontId="38" fillId="0" borderId="0" xfId="41" applyFont="1" applyAlignment="1">
      <alignment horizontal="center" vertical="center"/>
      <protection/>
    </xf>
    <xf numFmtId="0" fontId="40" fillId="0" borderId="0" xfId="41" applyFont="1" applyAlignment="1">
      <alignment horizontal="center"/>
      <protection/>
    </xf>
    <xf numFmtId="0" fontId="40" fillId="0" borderId="0" xfId="41" applyFont="1" applyAlignment="1">
      <alignment horizontal="center" vertical="center"/>
      <protection/>
    </xf>
    <xf numFmtId="0" fontId="40" fillId="0" borderId="11" xfId="41" applyFont="1" applyBorder="1">
      <alignment/>
      <protection/>
    </xf>
    <xf numFmtId="0" fontId="40" fillId="0" borderId="11" xfId="41" applyFont="1" applyBorder="1" applyAlignment="1" quotePrefix="1">
      <alignment horizontal="center"/>
      <protection/>
    </xf>
    <xf numFmtId="0" fontId="40" fillId="0" borderId="11" xfId="41" applyFont="1" applyBorder="1" applyAlignment="1" quotePrefix="1">
      <alignment horizontal="center" vertical="center"/>
      <protection/>
    </xf>
    <xf numFmtId="0" fontId="40" fillId="0" borderId="11" xfId="41" applyFont="1" applyBorder="1" applyAlignment="1">
      <alignment horizontal="center" vertical="center"/>
      <protection/>
    </xf>
    <xf numFmtId="0" fontId="40" fillId="0" borderId="0" xfId="41" applyFont="1" applyAlignment="1">
      <alignment horizontal="center" vertical="center" wrapText="1"/>
      <protection/>
    </xf>
    <xf numFmtId="0" fontId="40" fillId="0" borderId="0" xfId="41" applyFont="1" applyAlignment="1">
      <alignment vertical="center"/>
      <protection/>
    </xf>
    <xf numFmtId="0" fontId="40" fillId="0" borderId="0" xfId="41" applyFont="1" applyAlignment="1">
      <alignment horizontal="center" wrapText="1"/>
      <protection/>
    </xf>
    <xf numFmtId="0" fontId="40" fillId="0" borderId="11" xfId="41" applyFont="1" applyBorder="1" applyAlignment="1">
      <alignment horizontal="center" wrapText="1"/>
      <protection/>
    </xf>
    <xf numFmtId="9" fontId="40" fillId="0" borderId="11" xfId="41" applyNumberFormat="1" applyFont="1" applyBorder="1" applyAlignment="1">
      <alignment horizontal="center" wrapText="1"/>
      <protection/>
    </xf>
    <xf numFmtId="9" fontId="40" fillId="0" borderId="0" xfId="41" applyNumberFormat="1" applyFont="1" applyAlignment="1">
      <alignment horizontal="center" vertical="center"/>
      <protection/>
    </xf>
    <xf numFmtId="0" fontId="40" fillId="0" borderId="11" xfId="41" applyFont="1" applyBorder="1" applyAlignment="1">
      <alignment horizontal="center"/>
      <protection/>
    </xf>
    <xf numFmtId="9" fontId="40" fillId="0" borderId="11" xfId="41" applyNumberFormat="1" applyFont="1" applyBorder="1" applyAlignment="1">
      <alignment horizontal="center"/>
      <protection/>
    </xf>
    <xf numFmtId="165" fontId="42" fillId="0" borderId="0" xfId="42" applyNumberFormat="1" applyFont="1"/>
    <xf numFmtId="165" fontId="43" fillId="0" borderId="0" xfId="42" applyNumberFormat="1" applyFont="1" applyAlignment="1">
      <alignment wrapText="1"/>
    </xf>
    <xf numFmtId="165" fontId="44" fillId="0" borderId="0" xfId="42" applyNumberFormat="1" applyFont="1" applyAlignment="1">
      <alignment wrapText="1"/>
    </xf>
    <xf numFmtId="165" fontId="42" fillId="8" borderId="0" xfId="42" applyNumberFormat="1" applyFont="1" applyFill="1" applyAlignment="1">
      <alignment wrapText="1"/>
    </xf>
    <xf numFmtId="182" fontId="42" fillId="8" borderId="0" xfId="42" applyNumberFormat="1" applyFont="1" applyFill="1" applyAlignment="1">
      <alignment wrapText="1"/>
    </xf>
    <xf numFmtId="165" fontId="42" fillId="0" borderId="0" xfId="42" applyNumberFormat="1" applyFont="1" applyAlignment="1">
      <alignment wrapText="1"/>
    </xf>
    <xf numFmtId="165" fontId="40" fillId="8" borderId="0" xfId="41" applyNumberFormat="1" applyFont="1" applyFill="1">
      <alignment/>
      <protection/>
    </xf>
    <xf numFmtId="165" fontId="42" fillId="8" borderId="0" xfId="42" applyNumberFormat="1" applyFont="1" applyFill="1"/>
    <xf numFmtId="165" fontId="40" fillId="0" borderId="0" xfId="41" applyNumberFormat="1" applyFont="1">
      <alignment/>
      <protection/>
    </xf>
    <xf numFmtId="165" fontId="40" fillId="0" borderId="0" xfId="42" applyNumberFormat="1" applyFont="1" applyAlignment="1">
      <alignment wrapText="1"/>
    </xf>
    <xf numFmtId="165" fontId="42" fillId="0" borderId="29" xfId="42" applyNumberFormat="1" applyFont="1" applyBorder="1"/>
    <xf numFmtId="165" fontId="38" fillId="0" borderId="0" xfId="42" applyNumberFormat="1" applyFont="1" applyAlignment="1">
      <alignment wrapText="1"/>
    </xf>
    <xf numFmtId="165" fontId="0" fillId="0" borderId="0" xfId="41" applyNumberFormat="1">
      <alignment/>
      <protection/>
    </xf>
    <xf numFmtId="0" fontId="45" fillId="0" borderId="0" xfId="41" applyFont="1">
      <alignment/>
      <protection/>
    </xf>
    <xf numFmtId="0" fontId="46" fillId="0" borderId="0" xfId="41" applyFont="1">
      <alignment/>
      <protection/>
    </xf>
    <xf numFmtId="0" fontId="47" fillId="0" borderId="0" xfId="41" applyFont="1" applyAlignment="1">
      <alignment horizontal="center" wrapText="1"/>
      <protection/>
    </xf>
    <xf numFmtId="10" fontId="42" fillId="8" borderId="21" xfId="43" applyNumberFormat="1" applyFont="1" applyFill="1" applyBorder="1" applyAlignment="1">
      <alignment horizontal="center"/>
    </xf>
    <xf numFmtId="10" fontId="42" fillId="0" borderId="0" xfId="43" applyNumberFormat="1" applyFont="1" applyAlignment="1">
      <alignment horizontal="center"/>
    </xf>
    <xf numFmtId="0" fontId="40" fillId="0" borderId="0" xfId="41" applyFont="1" applyAlignment="1">
      <alignment horizontal="center" vertical="top"/>
      <protection/>
    </xf>
    <xf numFmtId="0" fontId="40" fillId="0" borderId="0" xfId="41" applyFont="1" applyAlignment="1">
      <alignment wrapText="1"/>
      <protection/>
    </xf>
    <xf numFmtId="182" fontId="40" fillId="0" borderId="0" xfId="41" applyNumberFormat="1" applyFont="1" applyAlignment="1">
      <alignment wrapText="1"/>
      <protection/>
    </xf>
    <xf numFmtId="167" fontId="42" fillId="0" borderId="0" xfId="43" applyNumberFormat="1" applyFont="1" applyAlignment="1">
      <alignment horizontal="center"/>
    </xf>
    <xf numFmtId="10" fontId="42" fillId="8" borderId="0" xfId="43" applyNumberFormat="1" applyFont="1" applyFill="1" applyAlignment="1">
      <alignment horizontal="center"/>
    </xf>
    <xf numFmtId="171" fontId="40" fillId="0" borderId="0" xfId="41" applyNumberFormat="1" applyFont="1" applyAlignment="1">
      <alignment horizontal="center"/>
      <protection/>
    </xf>
    <xf numFmtId="185" fontId="40" fillId="0" borderId="0" xfId="41" applyNumberFormat="1" applyFont="1" applyAlignment="1">
      <alignment horizontal="center"/>
      <protection/>
    </xf>
    <xf numFmtId="185" fontId="40" fillId="0" borderId="0" xfId="43" applyNumberFormat="1" applyFont="1" applyAlignment="1">
      <alignment horizontal="center"/>
    </xf>
    <xf numFmtId="43" fontId="40" fillId="0" borderId="0" xfId="41" applyNumberFormat="1" applyFont="1">
      <alignment/>
      <protection/>
    </xf>
    <xf numFmtId="0" fontId="40" fillId="8" borderId="0" xfId="41" applyFont="1" applyFill="1">
      <alignment/>
      <protection/>
    </xf>
    <xf numFmtId="0" fontId="40" fillId="0" borderId="0" xfId="41" applyFont="1" applyAlignment="1">
      <alignment vertical="top"/>
      <protection/>
    </xf>
    <xf numFmtId="1" fontId="8" fillId="0" borderId="0" xfId="20" applyNumberFormat="1" applyFont="1" applyAlignment="1">
      <alignment horizontal="left"/>
    </xf>
    <xf numFmtId="164" fontId="48" fillId="0" borderId="0" xfId="20" applyFont="1" applyAlignment="1" quotePrefix="1">
      <alignment horizontal="left"/>
    </xf>
    <xf numFmtId="164" fontId="49" fillId="0" borderId="0" xfId="20" applyFont="1">
      <alignment/>
    </xf>
    <xf numFmtId="164" fontId="8" fillId="0" borderId="0" xfId="20" applyFont="1">
      <alignment/>
    </xf>
    <xf numFmtId="164" fontId="8" fillId="0" borderId="0" xfId="20" applyFont="1" applyAlignment="1" quotePrefix="1">
      <alignment horizontal="left"/>
    </xf>
    <xf numFmtId="43" fontId="8" fillId="0" borderId="0" xfId="18" applyFont="1"/>
    <xf numFmtId="43" fontId="8" fillId="4" borderId="0" xfId="18" applyFont="1" applyFill="1"/>
    <xf numFmtId="43" fontId="8" fillId="0" borderId="14" xfId="18" applyFont="1" applyBorder="1"/>
    <xf numFmtId="164" fontId="8" fillId="0" borderId="0" xfId="20" applyFont="1" applyAlignment="1">
      <alignment horizontal="left"/>
    </xf>
    <xf numFmtId="43" fontId="8" fillId="0" borderId="11" xfId="18" applyFont="1" applyBorder="1"/>
    <xf numFmtId="174" fontId="3" fillId="0" borderId="0" xfId="16" applyNumberFormat="1" applyFont="1"/>
    <xf numFmtId="164" fontId="3" fillId="0" borderId="28" xfId="20" applyFont="1" applyBorder="1" applyAlignment="1">
      <alignment horizontal="center"/>
    </xf>
    <xf numFmtId="164" fontId="3" fillId="0" borderId="29" xfId="20" applyFont="1" applyBorder="1" applyAlignment="1">
      <alignment horizontal="center"/>
    </xf>
    <xf numFmtId="164" fontId="3" fillId="0" borderId="41" xfId="20" applyFont="1" applyBorder="1" applyAlignment="1">
      <alignment horizontal="center"/>
    </xf>
    <xf numFmtId="164" fontId="3" fillId="0" borderId="15" xfId="20" applyFont="1" applyBorder="1" applyAlignment="1">
      <alignment horizontal="center"/>
    </xf>
    <xf numFmtId="164" fontId="3" fillId="0" borderId="22" xfId="20" applyFont="1" applyBorder="1">
      <alignment/>
    </xf>
    <xf numFmtId="164" fontId="3" fillId="0" borderId="22" xfId="20" applyFont="1" applyBorder="1" applyAlignment="1">
      <alignment horizontal="center"/>
    </xf>
    <xf numFmtId="164" fontId="12" fillId="0" borderId="11" xfId="20" applyFont="1" applyBorder="1" applyAlignment="1">
      <alignment horizontal="center"/>
    </xf>
    <xf numFmtId="164" fontId="3" fillId="0" borderId="18" xfId="20" applyFont="1" applyBorder="1" applyAlignment="1">
      <alignment horizontal="center"/>
    </xf>
    <xf numFmtId="43" fontId="3" fillId="0" borderId="19" xfId="18" applyFont="1" applyBorder="1"/>
    <xf numFmtId="164" fontId="3" fillId="2" borderId="22" xfId="20" applyFont="1" applyFill="1" applyBorder="1">
      <alignment/>
    </xf>
    <xf numFmtId="186" fontId="3" fillId="0" borderId="20" xfId="18" applyNumberFormat="1" applyFont="1" applyBorder="1"/>
    <xf numFmtId="10" fontId="3" fillId="0" borderId="11" xfId="15" applyNumberFormat="1" applyFont="1" applyBorder="1"/>
    <xf numFmtId="174" fontId="3" fillId="0" borderId="11" xfId="16" applyNumberFormat="1" applyFont="1" applyBorder="1"/>
    <xf numFmtId="43" fontId="3" fillId="0" borderId="16" xfId="18" applyFont="1" applyBorder="1"/>
    <xf numFmtId="164" fontId="2" fillId="0" borderId="0" xfId="20" applyAlignment="1">
      <alignment horizontal="center"/>
    </xf>
    <xf numFmtId="164" fontId="2" fillId="0" borderId="0" xfId="20" applyAlignment="1">
      <alignment horizontal="right"/>
    </xf>
    <xf numFmtId="164" fontId="8" fillId="0" borderId="0" xfId="20" applyFont="1" applyAlignment="1">
      <alignment horizontal="center"/>
    </xf>
    <xf numFmtId="0" fontId="0" fillId="0" borderId="0" xfId="44">
      <alignment/>
      <protection/>
    </xf>
    <xf numFmtId="164" fontId="50" fillId="0" borderId="0" xfId="20" applyFont="1">
      <alignment/>
    </xf>
    <xf numFmtId="0" fontId="4" fillId="0" borderId="4" xfId="26" applyBorder="1" applyAlignment="1">
      <alignment horizontal="center"/>
      <protection/>
    </xf>
    <xf numFmtId="0" fontId="51" fillId="0" borderId="0" xfId="26" applyFont="1" applyAlignment="1">
      <alignment horizontal="left"/>
      <protection/>
    </xf>
    <xf numFmtId="0" fontId="4" fillId="0" borderId="0" xfId="26">
      <alignment/>
      <protection/>
    </xf>
    <xf numFmtId="0" fontId="4" fillId="0" borderId="0" xfId="26" applyAlignment="1">
      <alignment horizontal="center"/>
      <protection/>
    </xf>
    <xf numFmtId="164" fontId="52" fillId="0" borderId="0" xfId="20" applyFont="1" applyAlignment="1">
      <alignment horizontal="center"/>
    </xf>
    <xf numFmtId="49" fontId="4" fillId="0" borderId="0" xfId="26" applyNumberFormat="1" applyAlignment="1">
      <alignment horizontal="center"/>
      <protection/>
    </xf>
    <xf numFmtId="0" fontId="54" fillId="0" borderId="0" xfId="45" applyFont="1" applyAlignment="1">
      <alignment horizontal="center"/>
      <protection/>
    </xf>
    <xf numFmtId="3" fontId="3" fillId="0" borderId="0" xfId="26" applyNumberFormat="1" applyFont="1">
      <alignment/>
      <protection/>
    </xf>
    <xf numFmtId="164" fontId="6" fillId="0" borderId="11" xfId="20" applyFont="1" applyBorder="1" applyAlignment="1">
      <alignment horizontal="center" wrapText="1"/>
    </xf>
    <xf numFmtId="164" fontId="6" fillId="2" borderId="11" xfId="20" applyFont="1" applyFill="1" applyBorder="1" applyAlignment="1">
      <alignment horizontal="center" wrapText="1"/>
    </xf>
    <xf numFmtId="164" fontId="6" fillId="0" borderId="0" xfId="20" applyFont="1" applyAlignment="1">
      <alignment horizontal="center" wrapText="1"/>
    </xf>
    <xf numFmtId="0" fontId="3" fillId="0" borderId="0" xfId="46" applyFont="1">
      <alignment/>
      <protection/>
    </xf>
    <xf numFmtId="43" fontId="3" fillId="4" borderId="0" xfId="18" applyFont="1" applyFill="1" applyAlignment="1">
      <alignment horizontal="right"/>
    </xf>
    <xf numFmtId="0" fontId="3" fillId="0" borderId="0" xfId="46" applyFont="1" applyAlignment="1">
      <alignment wrapText="1"/>
      <protection/>
    </xf>
    <xf numFmtId="164" fontId="4" fillId="0" borderId="0" xfId="20" applyFont="1">
      <alignment/>
    </xf>
    <xf numFmtId="164" fontId="4" fillId="0" borderId="7" xfId="20" applyFont="1" applyBorder="1">
      <alignment/>
    </xf>
    <xf numFmtId="164" fontId="4" fillId="0" borderId="0" xfId="20" applyFont="1" applyAlignment="1">
      <alignment horizontal="center" vertical="top"/>
    </xf>
    <xf numFmtId="0" fontId="4" fillId="0" borderId="0" xfId="20" applyNumberFormat="1" applyFont="1" applyAlignment="1">
      <alignment horizontal="center" vertical="center"/>
    </xf>
    <xf numFmtId="0" fontId="3" fillId="0" borderId="0" xfId="26" applyFont="1" applyAlignment="1">
      <alignment horizontal="left"/>
      <protection/>
    </xf>
    <xf numFmtId="0" fontId="3" fillId="0" borderId="0" xfId="26" applyFont="1" applyAlignment="1">
      <alignment horizontal="right"/>
      <protection/>
    </xf>
    <xf numFmtId="0" fontId="6" fillId="0" borderId="0" xfId="26" applyFont="1" applyAlignment="1">
      <alignment horizontal="left"/>
      <protection/>
    </xf>
    <xf numFmtId="43" fontId="3" fillId="0" borderId="0" xfId="26" applyNumberFormat="1" applyFont="1">
      <alignment/>
      <protection/>
    </xf>
    <xf numFmtId="0" fontId="6" fillId="0" borderId="1" xfId="26" applyFont="1" applyBorder="1">
      <alignment/>
      <protection/>
    </xf>
    <xf numFmtId="0" fontId="3" fillId="0" borderId="2" xfId="26" applyFont="1" applyBorder="1">
      <alignment/>
      <protection/>
    </xf>
    <xf numFmtId="0" fontId="3" fillId="0" borderId="3" xfId="26" applyFont="1" applyBorder="1">
      <alignment/>
      <protection/>
    </xf>
    <xf numFmtId="0" fontId="6" fillId="0" borderId="6" xfId="26" applyFont="1" applyBorder="1">
      <alignment/>
      <protection/>
    </xf>
    <xf numFmtId="0" fontId="3" fillId="0" borderId="7" xfId="26" applyFont="1" applyBorder="1">
      <alignment/>
      <protection/>
    </xf>
    <xf numFmtId="174" fontId="6" fillId="4" borderId="8" xfId="47" applyNumberFormat="1" applyFont="1" applyFill="1" applyBorder="1"/>
    <xf numFmtId="174" fontId="6" fillId="0" borderId="0" xfId="47" applyNumberFormat="1" applyFont="1"/>
    <xf numFmtId="0" fontId="6" fillId="0" borderId="0" xfId="26" applyFont="1" applyAlignment="1" quotePrefix="1">
      <alignment horizontal="center"/>
      <protection/>
    </xf>
    <xf numFmtId="169" fontId="6" fillId="0" borderId="0" xfId="26" applyNumberFormat="1" applyFont="1" applyAlignment="1">
      <alignment horizontal="center"/>
      <protection/>
    </xf>
    <xf numFmtId="10" fontId="55" fillId="0" borderId="3" xfId="15" applyNumberFormat="1" applyFont="1" applyBorder="1"/>
    <xf numFmtId="187" fontId="17" fillId="0" borderId="0" xfId="15" applyNumberFormat="1" applyFont="1"/>
    <xf numFmtId="10" fontId="6" fillId="0" borderId="0" xfId="26" applyNumberFormat="1" applyFont="1" applyAlignment="1">
      <alignment horizontal="center"/>
      <protection/>
    </xf>
    <xf numFmtId="0" fontId="6" fillId="0" borderId="4" xfId="26" applyFont="1" applyBorder="1">
      <alignment/>
      <protection/>
    </xf>
    <xf numFmtId="9" fontId="6" fillId="0" borderId="5" xfId="15" applyFont="1" applyBorder="1"/>
    <xf numFmtId="10" fontId="6" fillId="0" borderId="5" xfId="48" applyNumberFormat="1" applyFont="1" applyBorder="1"/>
    <xf numFmtId="9" fontId="3" fillId="0" borderId="0" xfId="26" applyNumberFormat="1" applyFont="1">
      <alignment/>
      <protection/>
    </xf>
    <xf numFmtId="174" fontId="3" fillId="0" borderId="0" xfId="47" applyNumberFormat="1" applyFont="1"/>
    <xf numFmtId="0" fontId="3" fillId="0" borderId="7" xfId="26" applyFont="1" applyBorder="1" applyAlignment="1">
      <alignment horizontal="center"/>
      <protection/>
    </xf>
    <xf numFmtId="10" fontId="6" fillId="0" borderId="8" xfId="48" applyNumberFormat="1" applyFont="1" applyBorder="1"/>
    <xf numFmtId="0" fontId="6" fillId="0" borderId="0" xfId="26" applyFont="1">
      <alignment/>
      <protection/>
    </xf>
    <xf numFmtId="10" fontId="6" fillId="0" borderId="0" xfId="48" applyNumberFormat="1" applyFont="1"/>
    <xf numFmtId="0" fontId="3" fillId="0" borderId="1" xfId="26" applyFont="1" applyBorder="1">
      <alignment/>
      <protection/>
    </xf>
    <xf numFmtId="174" fontId="3" fillId="0" borderId="3" xfId="47" applyNumberFormat="1" applyFont="1" applyBorder="1"/>
    <xf numFmtId="174" fontId="3" fillId="0" borderId="5" xfId="47" applyNumberFormat="1" applyFont="1" applyBorder="1" applyAlignment="1">
      <alignment horizontal="center"/>
    </xf>
    <xf numFmtId="0" fontId="3" fillId="2" borderId="4" xfId="26" applyFont="1" applyFill="1" applyBorder="1">
      <alignment/>
      <protection/>
    </xf>
    <xf numFmtId="165" fontId="3" fillId="2" borderId="0" xfId="49" applyNumberFormat="1" applyFont="1" applyFill="1" applyAlignment="1">
      <alignment horizontal="right"/>
    </xf>
    <xf numFmtId="165" fontId="3" fillId="2" borderId="5" xfId="49" applyNumberFormat="1" applyFont="1" applyFill="1" applyBorder="1" applyAlignment="1">
      <alignment horizontal="right"/>
    </xf>
    <xf numFmtId="165" fontId="3" fillId="0" borderId="0" xfId="26" applyNumberFormat="1" applyFont="1">
      <alignment/>
      <protection/>
    </xf>
    <xf numFmtId="43" fontId="3" fillId="2" borderId="0" xfId="49" applyFont="1" applyFill="1" applyAlignment="1">
      <alignment horizontal="right"/>
    </xf>
    <xf numFmtId="10" fontId="3" fillId="0" borderId="0" xfId="26" applyNumberFormat="1" applyFont="1">
      <alignment/>
      <protection/>
    </xf>
    <xf numFmtId="165" fontId="17" fillId="0" borderId="0" xfId="26" applyNumberFormat="1" applyFont="1">
      <alignment/>
      <protection/>
    </xf>
    <xf numFmtId="165" fontId="3" fillId="2" borderId="0" xfId="49" applyNumberFormat="1" applyFont="1" applyFill="1"/>
    <xf numFmtId="165" fontId="3" fillId="2" borderId="5" xfId="49" applyNumberFormat="1" applyFont="1" applyFill="1" applyBorder="1"/>
    <xf numFmtId="43" fontId="3" fillId="2" borderId="5" xfId="18" applyFont="1" applyFill="1" applyBorder="1"/>
    <xf numFmtId="0" fontId="3" fillId="0" borderId="4" xfId="26" applyFont="1" applyBorder="1">
      <alignment/>
      <protection/>
    </xf>
    <xf numFmtId="165" fontId="3" fillId="0" borderId="0" xfId="49" applyNumberFormat="1" applyFont="1"/>
    <xf numFmtId="0" fontId="3" fillId="0" borderId="9" xfId="26" applyFont="1" applyBorder="1">
      <alignment/>
      <protection/>
    </xf>
    <xf numFmtId="165" fontId="6" fillId="0" borderId="42" xfId="49" applyNumberFormat="1" applyFont="1" applyBorder="1"/>
    <xf numFmtId="0" fontId="3" fillId="0" borderId="6" xfId="26" applyFont="1" applyBorder="1">
      <alignment/>
      <protection/>
    </xf>
    <xf numFmtId="165" fontId="3" fillId="0" borderId="7" xfId="49" applyNumberFormat="1" applyFont="1" applyBorder="1"/>
    <xf numFmtId="165" fontId="3" fillId="0" borderId="8" xfId="49" applyNumberFormat="1" applyFont="1" applyBorder="1"/>
    <xf numFmtId="0" fontId="3" fillId="2" borderId="1" xfId="26" applyFont="1" applyFill="1" applyBorder="1">
      <alignment/>
      <protection/>
    </xf>
    <xf numFmtId="165" fontId="3" fillId="2" borderId="2" xfId="49" applyNumberFormat="1" applyFont="1" applyFill="1" applyBorder="1"/>
    <xf numFmtId="0" fontId="3" fillId="2" borderId="2" xfId="26" applyFont="1" applyFill="1" applyBorder="1">
      <alignment/>
      <protection/>
    </xf>
    <xf numFmtId="165" fontId="3" fillId="2" borderId="3" xfId="49" applyNumberFormat="1" applyFont="1" applyFill="1" applyBorder="1"/>
    <xf numFmtId="169" fontId="3" fillId="0" borderId="0" xfId="15" applyNumberFormat="1" applyFont="1"/>
    <xf numFmtId="0" fontId="6" fillId="2" borderId="4" xfId="26" applyFont="1" applyFill="1" applyBorder="1">
      <alignment/>
      <protection/>
    </xf>
    <xf numFmtId="165" fontId="3" fillId="2" borderId="0" xfId="50" applyNumberFormat="1" applyFont="1" applyFill="1"/>
    <xf numFmtId="43" fontId="3" fillId="4" borderId="5" xfId="26" applyNumberFormat="1" applyFont="1" applyFill="1" applyBorder="1">
      <alignment/>
      <protection/>
    </xf>
    <xf numFmtId="0" fontId="6" fillId="2" borderId="6" xfId="26" applyFont="1" applyFill="1" applyBorder="1">
      <alignment/>
      <protection/>
    </xf>
    <xf numFmtId="165" fontId="3" fillId="2" borderId="7" xfId="49" applyNumberFormat="1" applyFont="1" applyFill="1" applyBorder="1"/>
    <xf numFmtId="0" fontId="3" fillId="2" borderId="7" xfId="26" applyFont="1" applyFill="1" applyBorder="1">
      <alignment/>
      <protection/>
    </xf>
    <xf numFmtId="10" fontId="3" fillId="2" borderId="7" xfId="48" applyNumberFormat="1" applyFont="1" applyFill="1" applyBorder="1"/>
    <xf numFmtId="43" fontId="3" fillId="4" borderId="8" xfId="26" applyNumberFormat="1" applyFont="1" applyFill="1" applyBorder="1">
      <alignment/>
      <protection/>
    </xf>
    <xf numFmtId="169" fontId="3" fillId="0" borderId="0" xfId="26" applyNumberFormat="1" applyFont="1">
      <alignment/>
      <protection/>
    </xf>
    <xf numFmtId="169" fontId="3" fillId="0" borderId="0" xfId="48" applyNumberFormat="1" applyFont="1"/>
    <xf numFmtId="0" fontId="3" fillId="0" borderId="23" xfId="26" applyFont="1" applyBorder="1">
      <alignment/>
      <protection/>
    </xf>
    <xf numFmtId="0" fontId="6" fillId="0" borderId="43" xfId="26" applyFont="1" applyBorder="1">
      <alignment/>
      <protection/>
    </xf>
    <xf numFmtId="10" fontId="3" fillId="2" borderId="44" xfId="15" applyNumberFormat="1" applyFont="1" applyFill="1" applyBorder="1"/>
    <xf numFmtId="10" fontId="3" fillId="0" borderId="44" xfId="26" applyNumberFormat="1" applyFont="1" applyBorder="1">
      <alignment/>
      <protection/>
    </xf>
    <xf numFmtId="0" fontId="3" fillId="0" borderId="1" xfId="26" applyFont="1" applyBorder="1" applyAlignment="1">
      <alignment horizontal="center"/>
      <protection/>
    </xf>
    <xf numFmtId="0" fontId="3" fillId="0" borderId="2" xfId="26" applyFont="1" applyBorder="1" applyAlignment="1">
      <alignment horizontal="center"/>
      <protection/>
    </xf>
    <xf numFmtId="0" fontId="3" fillId="0" borderId="3" xfId="26" applyFont="1" applyBorder="1" applyAlignment="1">
      <alignment horizontal="center"/>
      <protection/>
    </xf>
    <xf numFmtId="0" fontId="6" fillId="0" borderId="4" xfId="26" applyFont="1" applyBorder="1" applyAlignment="1">
      <alignment horizontal="center"/>
      <protection/>
    </xf>
    <xf numFmtId="0" fontId="6" fillId="0" borderId="0" xfId="26" applyFont="1" applyAlignment="1">
      <alignment horizontal="center" wrapText="1"/>
      <protection/>
    </xf>
    <xf numFmtId="0" fontId="6" fillId="0" borderId="5" xfId="26" applyFont="1" applyBorder="1" applyAlignment="1">
      <alignment horizontal="center" wrapText="1"/>
      <protection/>
    </xf>
    <xf numFmtId="0" fontId="6" fillId="0" borderId="6" xfId="26" applyFont="1" applyBorder="1" applyAlignment="1">
      <alignment horizontal="center"/>
      <protection/>
    </xf>
    <xf numFmtId="0" fontId="3" fillId="0" borderId="7" xfId="26" applyFont="1" applyBorder="1" applyAlignment="1">
      <alignment horizontal="center" wrapText="1"/>
      <protection/>
    </xf>
    <xf numFmtId="0" fontId="3" fillId="0" borderId="8" xfId="26" applyFont="1" applyBorder="1" applyAlignment="1">
      <alignment horizontal="center" wrapText="1"/>
      <protection/>
    </xf>
    <xf numFmtId="14" fontId="56" fillId="2" borderId="4" xfId="26" applyNumberFormat="1" applyFont="1" applyFill="1" applyBorder="1" applyAlignment="1">
      <alignment horizontal="center"/>
      <protection/>
    </xf>
    <xf numFmtId="0" fontId="3" fillId="2" borderId="0" xfId="26" applyFont="1" applyFill="1" applyAlignment="1">
      <alignment horizontal="center"/>
      <protection/>
    </xf>
    <xf numFmtId="165" fontId="56" fillId="2" borderId="0" xfId="49" applyNumberFormat="1" applyFont="1" applyFill="1"/>
    <xf numFmtId="165" fontId="3" fillId="0" borderId="5" xfId="49" applyNumberFormat="1" applyFont="1" applyBorder="1"/>
    <xf numFmtId="0" fontId="56" fillId="2" borderId="0" xfId="26" applyFont="1" applyFill="1" applyAlignment="1">
      <alignment horizontal="center"/>
      <protection/>
    </xf>
    <xf numFmtId="165" fontId="56" fillId="0" borderId="0" xfId="49" applyNumberFormat="1" applyFont="1"/>
    <xf numFmtId="43" fontId="3" fillId="0" borderId="0" xfId="49" applyFont="1"/>
    <xf numFmtId="14" fontId="3" fillId="2" borderId="4" xfId="26" applyNumberFormat="1" applyFont="1" applyFill="1" applyBorder="1" applyAlignment="1">
      <alignment horizontal="center"/>
      <protection/>
    </xf>
    <xf numFmtId="0" fontId="3" fillId="2" borderId="0" xfId="26" applyFont="1" applyFill="1" applyAlignment="1" quotePrefix="1">
      <alignment horizontal="center"/>
      <protection/>
    </xf>
    <xf numFmtId="187" fontId="3" fillId="0" borderId="0" xfId="15" applyNumberFormat="1" applyFont="1"/>
    <xf numFmtId="170" fontId="3" fillId="0" borderId="0" xfId="49" applyNumberFormat="1" applyFont="1"/>
    <xf numFmtId="14" fontId="3" fillId="0" borderId="6" xfId="26" applyNumberFormat="1" applyFont="1" applyBorder="1" applyAlignment="1">
      <alignment horizontal="center"/>
      <protection/>
    </xf>
    <xf numFmtId="0" fontId="9" fillId="0" borderId="0" xfId="26" applyFont="1">
      <alignment/>
      <protection/>
    </xf>
    <xf numFmtId="164" fontId="3" fillId="5" borderId="0" xfId="20" applyFont="1" applyFill="1" applyAlignment="1">
      <alignment vertical="top" wrapText="1"/>
    </xf>
    <xf numFmtId="164" fontId="3" fillId="0" borderId="0" xfId="20" applyFont="1" applyProtection="1">
      <alignment/>
      <protection locked="0"/>
    </xf>
    <xf numFmtId="164" fontId="3" fillId="0" borderId="0" xfId="20" applyFont="1" applyAlignment="1" applyProtection="1">
      <alignment horizontal="center"/>
      <protection locked="0"/>
    </xf>
    <xf numFmtId="164" fontId="6" fillId="0" borderId="0" xfId="20" applyFont="1" applyAlignment="1" applyProtection="1">
      <alignment horizontal="center"/>
      <protection locked="0"/>
    </xf>
    <xf numFmtId="164" fontId="57" fillId="0" borderId="0" xfId="20" applyFont="1" applyAlignment="1" applyProtection="1">
      <alignment horizontal="left"/>
      <protection locked="0"/>
    </xf>
    <xf numFmtId="164" fontId="6" fillId="9" borderId="1" xfId="20" applyFont="1" applyFill="1" applyBorder="1" applyAlignment="1" applyProtection="1">
      <alignment horizontal="center"/>
      <protection locked="0"/>
    </xf>
    <xf numFmtId="164" fontId="6" fillId="9" borderId="2" xfId="20" applyFont="1" applyFill="1" applyBorder="1" applyAlignment="1" applyProtection="1">
      <alignment horizontal="center"/>
      <protection locked="0"/>
    </xf>
    <xf numFmtId="164" fontId="6" fillId="9" borderId="3" xfId="20" applyFont="1" applyFill="1" applyBorder="1" applyAlignment="1" applyProtection="1">
      <alignment horizontal="center"/>
      <protection locked="0"/>
    </xf>
    <xf numFmtId="164" fontId="6" fillId="0" borderId="4" xfId="20" applyFont="1" applyBorder="1" applyAlignment="1">
      <alignment horizontal="center"/>
    </xf>
    <xf numFmtId="164" fontId="6" fillId="0" borderId="5" xfId="20" applyFont="1" applyBorder="1" applyAlignment="1" applyProtection="1">
      <alignment horizontal="center"/>
      <protection locked="0"/>
    </xf>
    <xf numFmtId="164" fontId="6" fillId="0" borderId="30" xfId="20" applyFont="1" applyBorder="1" applyAlignment="1" applyProtection="1">
      <alignment horizontal="center"/>
      <protection locked="0"/>
    </xf>
    <xf numFmtId="164" fontId="6" fillId="0" borderId="21" xfId="20" applyFont="1" applyBorder="1" applyAlignment="1" applyProtection="1">
      <alignment horizontal="center" wrapText="1"/>
      <protection locked="0"/>
    </xf>
    <xf numFmtId="164" fontId="6" fillId="0" borderId="0" xfId="20" applyFont="1" applyProtection="1">
      <alignment/>
      <protection locked="0"/>
    </xf>
    <xf numFmtId="164" fontId="6" fillId="0" borderId="0" xfId="20" applyFont="1" applyAlignment="1" applyProtection="1">
      <alignment horizontal="center" wrapText="1"/>
      <protection locked="0"/>
    </xf>
    <xf numFmtId="164" fontId="6" fillId="0" borderId="31" xfId="20" applyFont="1" applyBorder="1" applyAlignment="1" applyProtection="1">
      <alignment horizontal="center" wrapText="1"/>
      <protection locked="0"/>
    </xf>
    <xf numFmtId="0" fontId="3" fillId="2" borderId="4" xfId="20" applyNumberFormat="1" applyFont="1" applyFill="1" applyBorder="1" applyAlignment="1">
      <alignment horizontal="center"/>
    </xf>
    <xf numFmtId="10" fontId="3" fillId="2" borderId="0" xfId="20" applyNumberFormat="1" applyFont="1" applyFill="1" applyAlignment="1">
      <alignment horizontal="center"/>
    </xf>
    <xf numFmtId="174" fontId="3" fillId="2" borderId="0" xfId="20" applyNumberFormat="1" applyFont="1" applyFill="1" applyProtection="1">
      <alignment/>
      <protection locked="0"/>
    </xf>
    <xf numFmtId="188" fontId="3" fillId="0" borderId="0" xfId="20" applyNumberFormat="1" applyFont="1" applyProtection="1">
      <alignment/>
      <protection locked="0"/>
    </xf>
    <xf numFmtId="8" fontId="3" fillId="0" borderId="0" xfId="20" applyNumberFormat="1" applyFont="1">
      <alignment/>
    </xf>
    <xf numFmtId="169" fontId="3" fillId="2" borderId="0" xfId="20" applyNumberFormat="1" applyFont="1" applyFill="1" applyProtection="1">
      <alignment/>
      <protection locked="0"/>
    </xf>
    <xf numFmtId="174" fontId="3" fillId="6" borderId="5" xfId="16" applyNumberFormat="1" applyFont="1" applyFill="1" applyBorder="1" applyProtection="1">
      <protection locked="0"/>
    </xf>
    <xf numFmtId="0" fontId="3" fillId="2" borderId="4" xfId="20" applyNumberFormat="1" applyFont="1" applyFill="1" applyBorder="1" applyAlignment="1" applyProtection="1">
      <alignment horizontal="center"/>
      <protection locked="0"/>
    </xf>
    <xf numFmtId="167" fontId="3" fillId="2" borderId="0" xfId="20" applyNumberFormat="1" applyFont="1" applyFill="1" applyAlignment="1" applyProtection="1">
      <alignment horizontal="center"/>
      <protection locked="0"/>
    </xf>
    <xf numFmtId="10" fontId="3" fillId="2" borderId="0" xfId="20" applyNumberFormat="1" applyFont="1" applyFill="1" applyAlignment="1" applyProtection="1">
      <alignment horizontal="center"/>
      <protection locked="0"/>
    </xf>
    <xf numFmtId="169" fontId="3" fillId="0" borderId="0" xfId="20" applyNumberFormat="1" applyFont="1" applyProtection="1">
      <alignment/>
      <protection locked="0"/>
    </xf>
    <xf numFmtId="174" fontId="3" fillId="0" borderId="27" xfId="16" applyNumberFormat="1" applyFont="1" applyBorder="1" applyProtection="1">
      <protection locked="0"/>
    </xf>
    <xf numFmtId="0" fontId="3" fillId="0" borderId="4" xfId="20" applyNumberFormat="1" applyFont="1" applyBorder="1" applyAlignment="1" applyProtection="1">
      <alignment horizontal="center"/>
      <protection locked="0"/>
    </xf>
    <xf numFmtId="10" fontId="3" fillId="0" borderId="0" xfId="20" applyNumberFormat="1" applyFont="1" applyAlignment="1" applyProtection="1">
      <alignment horizontal="center"/>
      <protection locked="0"/>
    </xf>
    <xf numFmtId="10" fontId="3" fillId="0" borderId="0" xfId="20" applyNumberFormat="1" applyFont="1" applyAlignment="1">
      <alignment horizontal="center"/>
    </xf>
    <xf numFmtId="189" fontId="3" fillId="0" borderId="0" xfId="20" applyNumberFormat="1" applyFont="1" applyProtection="1">
      <alignment/>
      <protection locked="0"/>
    </xf>
    <xf numFmtId="174" fontId="3" fillId="0" borderId="0" xfId="20" applyNumberFormat="1" applyFont="1" applyProtection="1">
      <alignment/>
      <protection locked="0"/>
    </xf>
    <xf numFmtId="174" fontId="3" fillId="0" borderId="5" xfId="16" applyNumberFormat="1" applyFont="1" applyBorder="1" applyProtection="1">
      <protection locked="0"/>
    </xf>
    <xf numFmtId="164" fontId="58" fillId="0" borderId="4" xfId="20" applyFont="1" applyBorder="1" applyProtection="1">
      <alignment/>
      <protection locked="0"/>
    </xf>
    <xf numFmtId="164" fontId="3" fillId="0" borderId="5" xfId="20" applyFont="1" applyBorder="1" applyProtection="1">
      <alignment/>
      <protection locked="0"/>
    </xf>
    <xf numFmtId="164" fontId="58" fillId="0" borderId="4" xfId="20" applyFont="1" applyBorder="1">
      <alignment/>
    </xf>
    <xf numFmtId="164" fontId="3" fillId="0" borderId="4" xfId="20" applyFont="1" applyBorder="1" applyAlignment="1" applyProtection="1">
      <alignment horizontal="left"/>
      <protection locked="0"/>
    </xf>
    <xf numFmtId="164" fontId="3" fillId="0" borderId="0" xfId="20" applyFont="1" applyAlignment="1" applyProtection="1">
      <alignment horizontal="left"/>
      <protection locked="0"/>
    </xf>
    <xf numFmtId="165" fontId="3" fillId="0" borderId="4" xfId="20" applyNumberFormat="1" applyFont="1" applyBorder="1" applyProtection="1">
      <alignment/>
      <protection locked="0"/>
    </xf>
    <xf numFmtId="165" fontId="3" fillId="0" borderId="0" xfId="20" applyNumberFormat="1" applyFont="1" applyProtection="1">
      <alignment/>
      <protection locked="0"/>
    </xf>
    <xf numFmtId="165" fontId="3" fillId="0" borderId="6" xfId="20" applyNumberFormat="1" applyFont="1" applyBorder="1" applyProtection="1">
      <alignment/>
      <protection locked="0"/>
    </xf>
    <xf numFmtId="165" fontId="3" fillId="0" borderId="7" xfId="20" applyNumberFormat="1" applyFont="1" applyBorder="1" applyProtection="1">
      <alignment/>
      <protection locked="0"/>
    </xf>
    <xf numFmtId="164" fontId="3" fillId="0" borderId="7" xfId="20" applyFont="1" applyBorder="1" applyAlignment="1" applyProtection="1">
      <alignment horizontal="center"/>
      <protection locked="0"/>
    </xf>
    <xf numFmtId="164" fontId="3" fillId="0" borderId="7" xfId="20" applyFont="1" applyBorder="1" applyProtection="1">
      <alignment/>
      <protection locked="0"/>
    </xf>
    <xf numFmtId="164" fontId="3" fillId="0" borderId="8" xfId="20" applyFont="1" applyBorder="1" applyProtection="1">
      <alignment/>
      <protection locked="0"/>
    </xf>
    <xf numFmtId="165" fontId="6" fillId="0" borderId="2" xfId="20" applyNumberFormat="1" applyFont="1" applyBorder="1" applyAlignment="1" applyProtection="1">
      <alignment horizontal="center"/>
      <protection locked="0"/>
    </xf>
    <xf numFmtId="0" fontId="6" fillId="0" borderId="0" xfId="20" applyNumberFormat="1" applyFont="1" applyAlignment="1" applyProtection="1">
      <alignment horizontal="left"/>
      <protection locked="0"/>
    </xf>
    <xf numFmtId="165" fontId="6" fillId="0" borderId="0" xfId="20" applyNumberFormat="1" applyFont="1" applyAlignment="1" applyProtection="1">
      <alignment horizontal="center" wrapText="1"/>
      <protection locked="0"/>
    </xf>
    <xf numFmtId="165" fontId="6" fillId="0" borderId="0" xfId="20" applyNumberFormat="1" applyFont="1" applyAlignment="1" applyProtection="1">
      <alignment horizontal="center"/>
      <protection locked="0"/>
    </xf>
    <xf numFmtId="187" fontId="3" fillId="0" borderId="0" xfId="15" applyNumberFormat="1" applyFont="1" applyAlignment="1" applyProtection="1">
      <alignment horizontal="center"/>
      <protection locked="0"/>
    </xf>
    <xf numFmtId="187" fontId="3" fillId="0" borderId="0" xfId="15" applyNumberFormat="1" applyFont="1" applyProtection="1">
      <protection locked="0"/>
    </xf>
    <xf numFmtId="165" fontId="3" fillId="0" borderId="0" xfId="20" applyNumberFormat="1" applyFont="1" applyAlignment="1" applyProtection="1">
      <alignment horizontal="center"/>
      <protection locked="0"/>
    </xf>
    <xf numFmtId="164" fontId="15" fillId="0" borderId="12" xfId="20" applyFont="1" applyBorder="1" applyAlignment="1" applyProtection="1">
      <alignment horizontal="left"/>
      <protection locked="0"/>
    </xf>
    <xf numFmtId="164" fontId="15" fillId="0" borderId="14" xfId="20" applyFont="1" applyBorder="1" applyAlignment="1" applyProtection="1">
      <alignment horizontal="center"/>
      <protection locked="0"/>
    </xf>
    <xf numFmtId="164" fontId="3" fillId="0" borderId="14" xfId="20" applyFont="1" applyBorder="1" applyAlignment="1" applyProtection="1">
      <alignment horizontal="center"/>
      <protection locked="0"/>
    </xf>
    <xf numFmtId="164" fontId="3" fillId="0" borderId="14" xfId="20" applyFont="1" applyBorder="1" applyProtection="1">
      <alignment/>
      <protection locked="0"/>
    </xf>
    <xf numFmtId="164" fontId="6" fillId="0" borderId="14" xfId="20" applyFont="1" applyBorder="1" applyAlignment="1" applyProtection="1">
      <alignment horizontal="center"/>
      <protection locked="0"/>
    </xf>
    <xf numFmtId="164" fontId="3" fillId="0" borderId="15" xfId="20" applyFont="1" applyBorder="1" applyAlignment="1" applyProtection="1">
      <alignment horizontal="center"/>
      <protection locked="0"/>
    </xf>
    <xf numFmtId="0" fontId="6" fillId="0" borderId="19" xfId="20" applyNumberFormat="1" applyFont="1" applyBorder="1" applyAlignment="1" applyProtection="1">
      <alignment horizontal="left"/>
      <protection locked="0"/>
    </xf>
    <xf numFmtId="164" fontId="15" fillId="0" borderId="0" xfId="20" applyFont="1" applyAlignment="1" applyProtection="1">
      <alignment horizontal="center"/>
      <protection locked="0"/>
    </xf>
    <xf numFmtId="164" fontId="3" fillId="0" borderId="22" xfId="20" applyFont="1" applyBorder="1" applyAlignment="1" applyProtection="1">
      <alignment horizontal="center"/>
      <protection locked="0"/>
    </xf>
    <xf numFmtId="164" fontId="15" fillId="0" borderId="19" xfId="20" applyFont="1" applyBorder="1" applyAlignment="1" applyProtection="1">
      <alignment horizontal="left"/>
      <protection locked="0"/>
    </xf>
    <xf numFmtId="164" fontId="3" fillId="0" borderId="19" xfId="20" applyFont="1" applyBorder="1" applyProtection="1">
      <alignment/>
      <protection locked="0"/>
    </xf>
    <xf numFmtId="165" fontId="3" fillId="6" borderId="0" xfId="18" applyNumberFormat="1" applyFont="1" applyFill="1" applyProtection="1">
      <protection locked="0"/>
    </xf>
    <xf numFmtId="165" fontId="3" fillId="0" borderId="0" xfId="18" applyNumberFormat="1" applyFont="1" applyProtection="1">
      <protection locked="0"/>
    </xf>
    <xf numFmtId="187" fontId="3" fillId="6" borderId="0" xfId="20" applyNumberFormat="1" applyFont="1" applyFill="1" applyProtection="1">
      <alignment/>
      <protection locked="0"/>
    </xf>
    <xf numFmtId="187" fontId="3" fillId="0" borderId="0" xfId="20" applyNumberFormat="1" applyFont="1" applyProtection="1">
      <alignment/>
      <protection locked="0"/>
    </xf>
    <xf numFmtId="4" fontId="3" fillId="0" borderId="0" xfId="20" applyNumberFormat="1" applyFont="1" applyAlignment="1" applyProtection="1">
      <alignment horizontal="center"/>
      <protection locked="0"/>
    </xf>
    <xf numFmtId="165" fontId="3" fillId="0" borderId="22" xfId="18" applyNumberFormat="1" applyFont="1" applyBorder="1" applyProtection="1">
      <protection locked="0"/>
    </xf>
    <xf numFmtId="4" fontId="3" fillId="0" borderId="0" xfId="20" applyNumberFormat="1" applyFont="1" applyAlignment="1">
      <alignment horizontal="center"/>
    </xf>
    <xf numFmtId="165" fontId="3" fillId="0" borderId="11" xfId="18" applyNumberFormat="1" applyFont="1" applyBorder="1" applyProtection="1">
      <protection locked="0"/>
    </xf>
    <xf numFmtId="165" fontId="3" fillId="0" borderId="18" xfId="18" applyNumberFormat="1" applyFont="1" applyBorder="1" applyProtection="1">
      <protection locked="0"/>
    </xf>
    <xf numFmtId="165" fontId="6" fillId="0" borderId="0" xfId="18" applyNumberFormat="1" applyFont="1" applyProtection="1">
      <protection locked="0"/>
    </xf>
    <xf numFmtId="165" fontId="6" fillId="0" borderId="22" xfId="18" applyNumberFormat="1" applyFont="1" applyBorder="1" applyProtection="1">
      <protection locked="0"/>
    </xf>
    <xf numFmtId="165" fontId="6" fillId="0" borderId="0" xfId="18" applyNumberFormat="1" applyFont="1" applyAlignment="1" applyProtection="1">
      <alignment horizontal="center"/>
      <protection locked="0"/>
    </xf>
    <xf numFmtId="164" fontId="15" fillId="0" borderId="19" xfId="20" applyFont="1" applyBorder="1" applyProtection="1">
      <alignment/>
      <protection locked="0"/>
    </xf>
    <xf numFmtId="164" fontId="15" fillId="0" borderId="0" xfId="20" applyFont="1" applyProtection="1">
      <alignment/>
      <protection locked="0"/>
    </xf>
    <xf numFmtId="164" fontId="3" fillId="0" borderId="16" xfId="20" applyFont="1" applyBorder="1" applyProtection="1">
      <alignment/>
      <protection locked="0"/>
    </xf>
    <xf numFmtId="164" fontId="3" fillId="0" borderId="11" xfId="20" applyFont="1" applyBorder="1" applyProtection="1">
      <alignment/>
      <protection locked="0"/>
    </xf>
    <xf numFmtId="187" fontId="3" fillId="0" borderId="0" xfId="20" applyNumberFormat="1" applyFont="1">
      <alignment/>
    </xf>
    <xf numFmtId="165" fontId="59" fillId="0" borderId="22" xfId="18" applyNumberFormat="1" applyFont="1" applyBorder="1" applyProtection="1">
      <protection locked="0"/>
    </xf>
    <xf numFmtId="165" fontId="59" fillId="0" borderId="0" xfId="18" applyNumberFormat="1" applyFont="1" applyProtection="1">
      <protection locked="0"/>
    </xf>
    <xf numFmtId="165" fontId="6" fillId="0" borderId="0" xfId="20" applyNumberFormat="1" applyFont="1" applyProtection="1">
      <alignment/>
      <protection locked="0"/>
    </xf>
    <xf numFmtId="175" fontId="3" fillId="0" borderId="0" xfId="18" applyNumberFormat="1" applyFont="1" applyProtection="1">
      <protection locked="0"/>
    </xf>
    <xf numFmtId="0" fontId="3" fillId="0" borderId="0" xfId="20" applyNumberFormat="1" applyFont="1" applyAlignment="1" applyProtection="1">
      <alignment horizontal="right"/>
      <protection locked="0"/>
    </xf>
    <xf numFmtId="10" fontId="3" fillId="0" borderId="0" xfId="15" applyNumberFormat="1" applyFont="1" applyAlignment="1">
      <alignment horizontal="center"/>
    </xf>
    <xf numFmtId="7" fontId="61" fillId="0" borderId="0" xfId="51" applyFont="1">
      <alignment/>
      <protection/>
    </xf>
    <xf numFmtId="7" fontId="61" fillId="0" borderId="0" xfId="51" applyFont="1" applyAlignment="1">
      <alignment horizontal="center"/>
      <protection/>
    </xf>
    <xf numFmtId="7" fontId="62" fillId="0" borderId="0" xfId="51" applyFont="1" applyAlignment="1">
      <alignment horizontal="center"/>
      <protection/>
    </xf>
    <xf numFmtId="7" fontId="62" fillId="0" borderId="0" xfId="51" applyFont="1">
      <alignment/>
      <protection/>
    </xf>
    <xf numFmtId="187" fontId="63" fillId="0" borderId="0" xfId="52" applyNumberFormat="1" applyFont="1" applyAlignment="1">
      <alignment horizontal="center"/>
    </xf>
    <xf numFmtId="166" fontId="62" fillId="0" borderId="0" xfId="18" applyNumberFormat="1" applyFont="1" applyAlignment="1">
      <alignment horizontal="left"/>
    </xf>
    <xf numFmtId="187" fontId="62" fillId="0" borderId="0" xfId="52" applyNumberFormat="1" applyFont="1" applyAlignment="1">
      <alignment horizontal="center"/>
    </xf>
    <xf numFmtId="166" fontId="61" fillId="0" borderId="0" xfId="18" applyNumberFormat="1" applyFont="1" applyAlignment="1">
      <alignment horizontal="left"/>
    </xf>
    <xf numFmtId="187" fontId="62" fillId="0" borderId="0" xfId="52" applyNumberFormat="1" applyFont="1"/>
    <xf numFmtId="10" fontId="62" fillId="0" borderId="0" xfId="51" applyNumberFormat="1" applyFont="1">
      <alignment/>
      <protection/>
    </xf>
    <xf numFmtId="7" fontId="62" fillId="0" borderId="0" xfId="51" applyFont="1" applyAlignment="1">
      <alignment horizontal="left"/>
      <protection/>
    </xf>
    <xf numFmtId="164" fontId="62" fillId="0" borderId="0" xfId="20" applyFont="1">
      <alignment/>
    </xf>
    <xf numFmtId="7" fontId="60" fillId="0" borderId="0" xfId="51">
      <alignment/>
      <protection/>
    </xf>
    <xf numFmtId="2" fontId="62" fillId="0" borderId="0" xfId="20" applyNumberFormat="1" applyFont="1" applyAlignment="1">
      <alignment horizontal="center"/>
    </xf>
    <xf numFmtId="164" fontId="62" fillId="0" borderId="0" xfId="20" applyFont="1" applyAlignment="1">
      <alignment horizontal="left"/>
    </xf>
    <xf numFmtId="10" fontId="62" fillId="0" borderId="0" xfId="15" applyNumberFormat="1" applyFont="1" applyAlignment="1">
      <alignment horizontal="center"/>
    </xf>
    <xf numFmtId="2" fontId="3" fillId="0" borderId="0" xfId="20" applyNumberFormat="1" applyFont="1" applyAlignment="1">
      <alignment horizontal="center"/>
    </xf>
    <xf numFmtId="2" fontId="3" fillId="0" borderId="0" xfId="20" applyNumberFormat="1" applyFont="1" applyAlignment="1">
      <alignment horizontal="left"/>
    </xf>
    <xf numFmtId="2" fontId="3" fillId="0" borderId="0" xfId="20" applyNumberFormat="1" applyFont="1">
      <alignment/>
    </xf>
    <xf numFmtId="164" fontId="2" fillId="0" borderId="0" xfId="53">
      <alignment/>
    </xf>
    <xf numFmtId="0" fontId="3" fillId="0" borderId="0" xfId="54" applyNumberFormat="1" applyFont="1" applyProtection="1">
      <alignment/>
      <protection locked="0"/>
    </xf>
    <xf numFmtId="0" fontId="6" fillId="0" borderId="0" xfId="54" applyNumberFormat="1" applyFont="1" applyAlignment="1" applyProtection="1">
      <alignment horizontal="center"/>
      <protection locked="0"/>
    </xf>
    <xf numFmtId="0" fontId="6" fillId="0" borderId="0" xfId="55" applyNumberFormat="1" applyFont="1" applyAlignment="1" applyProtection="1">
      <alignment horizontal="center"/>
      <protection locked="0"/>
    </xf>
    <xf numFmtId="0" fontId="6" fillId="0" borderId="0" xfId="56" applyNumberFormat="1" applyFont="1" applyAlignment="1">
      <alignment horizontal="center"/>
    </xf>
    <xf numFmtId="0" fontId="5" fillId="0" borderId="0" xfId="56" applyNumberFormat="1" applyFont="1" applyAlignment="1">
      <alignment horizontal="center"/>
    </xf>
    <xf numFmtId="0" fontId="3" fillId="0" borderId="0" xfId="56" applyNumberFormat="1" applyFont="1" applyAlignment="1">
      <alignment horizontal="center"/>
    </xf>
    <xf numFmtId="37" fontId="3" fillId="0" borderId="0" xfId="18" applyNumberFormat="1" applyFont="1" applyAlignment="1" quotePrefix="1">
      <alignment horizontal="center"/>
    </xf>
    <xf numFmtId="0" fontId="64" fillId="0" borderId="11" xfId="53" applyNumberFormat="1" applyFont="1" applyBorder="1" applyAlignment="1">
      <alignment horizontal="center"/>
    </xf>
    <xf numFmtId="0" fontId="64" fillId="0" borderId="11" xfId="53" applyNumberFormat="1" applyFont="1" applyBorder="1" applyAlignment="1">
      <alignment horizontal="left"/>
    </xf>
    <xf numFmtId="0" fontId="64" fillId="0" borderId="11" xfId="53" applyNumberFormat="1" applyFont="1" applyBorder="1" applyAlignment="1">
      <alignment horizontal="center" wrapText="1"/>
    </xf>
    <xf numFmtId="0" fontId="65" fillId="0" borderId="0" xfId="53" applyNumberFormat="1" applyFont="1" applyAlignment="1">
      <alignment horizontal="center"/>
    </xf>
    <xf numFmtId="0" fontId="65" fillId="0" borderId="0" xfId="53" applyNumberFormat="1" applyFont="1" applyAlignment="1">
      <alignment horizontal="left"/>
    </xf>
    <xf numFmtId="0" fontId="65" fillId="0" borderId="0" xfId="53" applyNumberFormat="1" applyFont="1" applyAlignment="1" quotePrefix="1">
      <alignment horizontal="center"/>
    </xf>
    <xf numFmtId="0" fontId="65" fillId="0" borderId="0" xfId="53" applyNumberFormat="1" applyFont="1">
      <alignment/>
    </xf>
    <xf numFmtId="10" fontId="65" fillId="2" borderId="0" xfId="48" applyNumberFormat="1" applyFont="1" applyFill="1" applyAlignment="1">
      <alignment horizontal="center"/>
    </xf>
    <xf numFmtId="10" fontId="65" fillId="0" borderId="0" xfId="15" applyNumberFormat="1" applyFont="1" applyFill="1" applyAlignment="1">
      <alignment horizontal="center"/>
    </xf>
    <xf numFmtId="10" fontId="65" fillId="0" borderId="11" xfId="15" applyNumberFormat="1" applyFont="1" applyFill="1" applyBorder="1" applyAlignment="1">
      <alignment horizontal="center"/>
    </xf>
    <xf numFmtId="10" fontId="65" fillId="0" borderId="11" xfId="15" applyNumberFormat="1" applyFont="1" applyBorder="1" applyAlignment="1">
      <alignment horizontal="center"/>
    </xf>
    <xf numFmtId="0" fontId="65" fillId="0" borderId="11" xfId="53" applyNumberFormat="1" applyFont="1" applyBorder="1" applyAlignment="1">
      <alignment horizontal="center"/>
    </xf>
    <xf numFmtId="10" fontId="65" fillId="0" borderId="0" xfId="15" applyNumberFormat="1" applyFont="1" applyAlignment="1">
      <alignment horizontal="center"/>
    </xf>
    <xf numFmtId="10" fontId="65" fillId="0" borderId="0" xfId="53" applyNumberFormat="1" applyFont="1" applyAlignment="1">
      <alignment horizontal="center"/>
    </xf>
    <xf numFmtId="187" fontId="0" fillId="0" borderId="0" xfId="15" applyNumberFormat="1" applyFont="1"/>
    <xf numFmtId="10" fontId="64" fillId="0" borderId="0" xfId="15" applyNumberFormat="1" applyFont="1" applyAlignment="1">
      <alignment horizontal="center"/>
    </xf>
    <xf numFmtId="10" fontId="66" fillId="0" borderId="0" xfId="53" applyNumberFormat="1" applyFont="1" applyAlignment="1">
      <alignment horizontal="center"/>
    </xf>
    <xf numFmtId="10" fontId="64" fillId="0" borderId="0" xfId="53" applyNumberFormat="1" applyFont="1" applyAlignment="1">
      <alignment horizontal="center"/>
    </xf>
    <xf numFmtId="0" fontId="64" fillId="0" borderId="0" xfId="53" applyNumberFormat="1" applyFont="1" applyAlignment="1">
      <alignment horizontal="center"/>
    </xf>
    <xf numFmtId="0" fontId="65" fillId="0" borderId="0" xfId="53" applyNumberFormat="1" applyFont="1" applyAlignment="1">
      <alignment horizontal="left" indent="2"/>
    </xf>
    <xf numFmtId="190" fontId="0" fillId="0" borderId="0" xfId="15" applyNumberFormat="1" applyFont="1"/>
    <xf numFmtId="164" fontId="2" fillId="0" borderId="11" xfId="53" applyBorder="1">
      <alignment/>
    </xf>
    <xf numFmtId="0" fontId="65" fillId="0" borderId="11" xfId="53" applyNumberFormat="1" applyFont="1" applyBorder="1">
      <alignment/>
    </xf>
    <xf numFmtId="10" fontId="65" fillId="0" borderId="11" xfId="53" applyNumberFormat="1" applyFont="1" applyBorder="1" applyAlignment="1">
      <alignment horizontal="center"/>
    </xf>
    <xf numFmtId="10" fontId="65" fillId="0" borderId="0" xfId="53" applyNumberFormat="1" applyFont="1">
      <alignment/>
    </xf>
    <xf numFmtId="10" fontId="64" fillId="0" borderId="0" xfId="53" applyNumberFormat="1" applyFont="1">
      <alignment/>
    </xf>
    <xf numFmtId="185" fontId="0" fillId="0" borderId="0" xfId="15" applyNumberFormat="1" applyFont="1"/>
    <xf numFmtId="191" fontId="0" fillId="0" borderId="0" xfId="15" applyNumberFormat="1" applyFont="1"/>
    <xf numFmtId="169" fontId="0" fillId="0" borderId="0" xfId="15" applyNumberFormat="1" applyFont="1"/>
    <xf numFmtId="10" fontId="0" fillId="0" borderId="0" xfId="15" applyNumberFormat="1" applyFont="1"/>
    <xf numFmtId="0" fontId="64" fillId="0" borderId="0" xfId="53" applyNumberFormat="1" applyFont="1" applyAlignment="1">
      <alignment wrapText="1"/>
    </xf>
    <xf numFmtId="0" fontId="64" fillId="0" borderId="0" xfId="53" applyNumberFormat="1" applyFont="1" applyAlignment="1">
      <alignment horizontal="center" wrapText="1"/>
    </xf>
    <xf numFmtId="0" fontId="64" fillId="0" borderId="0" xfId="53" applyNumberFormat="1" applyFont="1">
      <alignment/>
    </xf>
    <xf numFmtId="192" fontId="65" fillId="0" borderId="0" xfId="53" applyNumberFormat="1" applyFont="1">
      <alignment/>
    </xf>
    <xf numFmtId="0" fontId="65" fillId="0" borderId="0" xfId="53" applyNumberFormat="1" applyFont="1" applyAlignment="1">
      <alignment horizontal="right"/>
    </xf>
    <xf numFmtId="10" fontId="65" fillId="0" borderId="14" xfId="15" applyNumberFormat="1" applyFont="1" applyFill="1" applyBorder="1" applyAlignment="1">
      <alignment horizontal="center"/>
    </xf>
    <xf numFmtId="43" fontId="65" fillId="0" borderId="0" xfId="18" applyFont="1" applyFill="1"/>
    <xf numFmtId="164" fontId="2" fillId="0" borderId="0" xfId="53" applyAlignment="1">
      <alignment horizontal="center"/>
    </xf>
    <xf numFmtId="10" fontId="65" fillId="0" borderId="0" xfId="15" applyNumberFormat="1" applyFont="1" applyFill="1"/>
    <xf numFmtId="164" fontId="3" fillId="0" borderId="0" xfId="53" applyFont="1">
      <alignment/>
    </xf>
    <xf numFmtId="164" fontId="3" fillId="0" borderId="11" xfId="53" applyFont="1" applyBorder="1">
      <alignment/>
    </xf>
    <xf numFmtId="0" fontId="64" fillId="0" borderId="11" xfId="31" applyFont="1" applyBorder="1" applyAlignment="1">
      <alignment wrapText="1"/>
      <protection/>
    </xf>
    <xf numFmtId="0" fontId="64" fillId="0" borderId="0" xfId="31" applyFont="1" applyAlignment="1">
      <alignment wrapText="1"/>
      <protection/>
    </xf>
    <xf numFmtId="165" fontId="65" fillId="0" borderId="0" xfId="18" applyNumberFormat="1" applyFont="1" applyBorder="1" applyAlignment="1">
      <alignment horizontal="center"/>
    </xf>
    <xf numFmtId="164" fontId="6" fillId="0" borderId="11" xfId="31" applyNumberFormat="1" applyFont="1" applyBorder="1" applyAlignment="1">
      <alignment horizontal="center" wrapText="1"/>
      <protection/>
    </xf>
    <xf numFmtId="0" fontId="64" fillId="0" borderId="11" xfId="31" applyFont="1" applyBorder="1" applyAlignment="1">
      <alignment horizontal="left"/>
      <protection/>
    </xf>
    <xf numFmtId="0" fontId="64" fillId="0" borderId="11" xfId="31" applyFont="1" applyBorder="1" applyAlignment="1">
      <alignment horizontal="center"/>
      <protection/>
    </xf>
    <xf numFmtId="0" fontId="64" fillId="0" borderId="11" xfId="31" applyFont="1" applyBorder="1" applyAlignment="1">
      <alignment horizontal="center" wrapText="1"/>
      <protection/>
    </xf>
    <xf numFmtId="0" fontId="65" fillId="0" borderId="11" xfId="31" applyFont="1" applyBorder="1" applyAlignment="1">
      <alignment horizontal="center"/>
      <protection/>
    </xf>
    <xf numFmtId="0" fontId="65" fillId="0" borderId="0" xfId="31" applyFont="1" applyAlignment="1">
      <alignment horizontal="center" wrapText="1"/>
      <protection/>
    </xf>
    <xf numFmtId="37" fontId="3" fillId="0" borderId="0" xfId="49" applyNumberFormat="1" applyFont="1" applyAlignment="1">
      <alignment horizontal="center"/>
    </xf>
    <xf numFmtId="0" fontId="65" fillId="2" borderId="0" xfId="31" applyFont="1" applyFill="1">
      <alignment/>
      <protection/>
    </xf>
    <xf numFmtId="0" fontId="65" fillId="0" borderId="0" xfId="31" applyFont="1">
      <alignment/>
      <protection/>
    </xf>
    <xf numFmtId="0" fontId="65" fillId="0" borderId="0" xfId="31" applyFont="1" applyAlignment="1">
      <alignment horizontal="center"/>
      <protection/>
    </xf>
    <xf numFmtId="10" fontId="65" fillId="0" borderId="0" xfId="15" applyNumberFormat="1" applyFont="1"/>
    <xf numFmtId="37" fontId="3" fillId="0" borderId="11" xfId="49" applyNumberFormat="1" applyFont="1" applyBorder="1" applyAlignment="1">
      <alignment horizontal="center"/>
    </xf>
    <xf numFmtId="0" fontId="65" fillId="2" borderId="11" xfId="31" applyFont="1" applyFill="1" applyBorder="1">
      <alignment/>
      <protection/>
    </xf>
    <xf numFmtId="0" fontId="65" fillId="0" borderId="11" xfId="31" applyFont="1" applyBorder="1">
      <alignment/>
      <protection/>
    </xf>
    <xf numFmtId="10" fontId="65" fillId="2" borderId="11" xfId="48" applyNumberFormat="1" applyFont="1" applyFill="1" applyBorder="1" applyAlignment="1">
      <alignment horizontal="center"/>
    </xf>
    <xf numFmtId="0" fontId="65" fillId="0" borderId="0" xfId="31" applyFont="1" applyAlignment="1">
      <alignment horizontal="left" indent="1"/>
      <protection/>
    </xf>
    <xf numFmtId="10" fontId="65" fillId="0" borderId="14" xfId="15" applyNumberFormat="1" applyFont="1" applyBorder="1" applyAlignment="1">
      <alignment horizontal="center"/>
    </xf>
    <xf numFmtId="10" fontId="65" fillId="0" borderId="0" xfId="15" applyNumberFormat="1" applyFont="1" applyBorder="1"/>
    <xf numFmtId="164" fontId="36" fillId="0" borderId="0" xfId="31" applyNumberFormat="1" applyFont="1" applyAlignment="1">
      <alignment horizontal="right"/>
      <protection/>
    </xf>
    <xf numFmtId="164" fontId="36" fillId="0" borderId="0" xfId="31" applyNumberFormat="1" applyFont="1">
      <alignment/>
      <protection/>
    </xf>
    <xf numFmtId="43" fontId="36" fillId="0" borderId="0" xfId="49" applyFont="1"/>
    <xf numFmtId="10" fontId="65" fillId="2" borderId="11" xfId="15" applyNumberFormat="1" applyFont="1" applyFill="1" applyBorder="1" applyAlignment="1">
      <alignment horizontal="center"/>
    </xf>
    <xf numFmtId="0" fontId="64" fillId="2" borderId="0" xfId="53" applyNumberFormat="1" applyFont="1" applyFill="1" applyAlignment="1">
      <alignment horizontal="center"/>
    </xf>
    <xf numFmtId="10" fontId="65" fillId="2" borderId="0" xfId="15" applyNumberFormat="1" applyFont="1" applyFill="1" applyAlignment="1">
      <alignment horizontal="center"/>
    </xf>
    <xf numFmtId="10" fontId="64" fillId="2" borderId="0" xfId="53" applyNumberFormat="1" applyFont="1" applyFill="1" applyAlignment="1">
      <alignment horizontal="center"/>
    </xf>
    <xf numFmtId="10" fontId="65" fillId="2" borderId="14" xfId="15" applyNumberFormat="1" applyFont="1" applyFill="1" applyBorder="1" applyAlignment="1">
      <alignment horizontal="center"/>
    </xf>
    <xf numFmtId="10" fontId="65" fillId="2" borderId="11" xfId="53" applyNumberFormat="1" applyFont="1" applyFill="1" applyBorder="1" applyAlignment="1">
      <alignment horizontal="center"/>
    </xf>
    <xf numFmtId="0" fontId="3" fillId="2" borderId="0" xfId="18" applyNumberFormat="1" applyFont="1" applyFill="1" applyAlignment="1">
      <alignment horizontal="center"/>
    </xf>
    <xf numFmtId="0" fontId="26" fillId="0" borderId="0" xfId="31" applyFont="1" applyFill="1" applyAlignment="1">
      <alignment horizontal="center"/>
      <protection/>
    </xf>
    <xf numFmtId="165" fontId="26" fillId="0" borderId="0" xfId="31" applyNumberFormat="1" applyFont="1" applyFill="1" applyAlignment="1">
      <alignment horizontal="center"/>
      <protection/>
    </xf>
    <xf numFmtId="165" fontId="12" fillId="0" borderId="0" xfId="18" applyNumberFormat="1" applyFont="1" applyFill="1"/>
    <xf numFmtId="43" fontId="3" fillId="0" borderId="0" xfId="31" applyNumberFormat="1" applyFont="1" applyFill="1">
      <alignment/>
      <protection/>
    </xf>
    <xf numFmtId="0" fontId="3" fillId="0" borderId="0" xfId="31" applyFont="1" applyFill="1">
      <alignment/>
      <protection/>
    </xf>
    <xf numFmtId="43" fontId="3" fillId="0" borderId="10" xfId="18" applyFont="1" applyFill="1" applyBorder="1"/>
    <xf numFmtId="164" fontId="3" fillId="0" borderId="0" xfId="20" applyFont="1" applyAlignment="1">
      <alignment horizontal="left" wrapText="1"/>
    </xf>
    <xf numFmtId="0" fontId="3" fillId="0" borderId="0" xfId="22" applyNumberFormat="1" applyFont="1" applyAlignment="1" applyProtection="1">
      <alignment vertical="top" wrapText="1"/>
      <protection locked="0"/>
    </xf>
    <xf numFmtId="0" fontId="3" fillId="0" borderId="0" xfId="22" applyNumberFormat="1" applyFont="1" applyAlignment="1" quotePrefix="1">
      <alignment vertical="top" wrapText="1"/>
    </xf>
    <xf numFmtId="0" fontId="3" fillId="0" borderId="0" xfId="22" applyNumberFormat="1" applyFont="1" applyAlignment="1">
      <alignment vertical="top" wrapText="1"/>
    </xf>
    <xf numFmtId="0" fontId="3" fillId="0" borderId="0" xfId="23" applyFont="1" applyAlignment="1" quotePrefix="1">
      <alignment vertical="top" wrapText="1"/>
      <protection/>
    </xf>
    <xf numFmtId="0" fontId="3" fillId="0" borderId="0" xfId="23" applyFont="1" applyAlignment="1">
      <alignment vertical="top" wrapText="1"/>
      <protection/>
    </xf>
    <xf numFmtId="164" fontId="3" fillId="0" borderId="0" xfId="20" applyFont="1" applyAlignment="1">
      <alignment vertical="top" wrapText="1"/>
    </xf>
    <xf numFmtId="0" fontId="3" fillId="0" borderId="0" xfId="20" applyNumberFormat="1" applyFont="1" applyAlignment="1">
      <alignment horizontal="left" vertical="top" wrapText="1"/>
    </xf>
    <xf numFmtId="0" fontId="3" fillId="0" borderId="0" xfId="21" applyFont="1" applyAlignment="1">
      <alignment vertical="top" wrapText="1"/>
    </xf>
    <xf numFmtId="164" fontId="3" fillId="0" borderId="0" xfId="22" applyFont="1" applyAlignment="1">
      <alignment horizontal="center"/>
    </xf>
    <xf numFmtId="49" fontId="3" fillId="0" borderId="0" xfId="22" applyNumberFormat="1" applyFont="1" applyAlignment="1" applyProtection="1">
      <alignment horizontal="center"/>
      <protection locked="0"/>
    </xf>
    <xf numFmtId="0" fontId="21" fillId="0" borderId="0" xfId="22" applyNumberFormat="1" applyFont="1" applyAlignment="1" applyProtection="1">
      <alignment vertical="top" wrapText="1"/>
      <protection locked="0"/>
    </xf>
    <xf numFmtId="164" fontId="3" fillId="0" borderId="0" xfId="20" applyFont="1" applyAlignment="1">
      <alignment horizontal="left"/>
    </xf>
    <xf numFmtId="164" fontId="20" fillId="0" borderId="0" xfId="20" applyFont="1" applyAlignment="1">
      <alignment horizontal="left" vertical="center" wrapText="1"/>
    </xf>
    <xf numFmtId="164" fontId="3" fillId="0" borderId="0" xfId="20" applyFont="1" applyAlignment="1">
      <alignment horizontal="left" vertical="top" wrapText="1"/>
    </xf>
    <xf numFmtId="164" fontId="3" fillId="0" borderId="12" xfId="20" applyFont="1" applyBorder="1" applyAlignment="1">
      <alignment horizontal="center"/>
    </xf>
    <xf numFmtId="164" fontId="3" fillId="0" borderId="15" xfId="20" applyFont="1" applyBorder="1" applyAlignment="1">
      <alignment horizontal="center"/>
    </xf>
    <xf numFmtId="164" fontId="3" fillId="0" borderId="16" xfId="20" applyFont="1" applyBorder="1" applyAlignment="1">
      <alignment horizontal="center"/>
    </xf>
    <xf numFmtId="164" fontId="3" fillId="0" borderId="18" xfId="20" applyFont="1" applyBorder="1" applyAlignment="1">
      <alignment horizontal="center"/>
    </xf>
    <xf numFmtId="0" fontId="3" fillId="0" borderId="0" xfId="23" applyFont="1" applyAlignment="1">
      <alignment horizontal="left" vertical="top" wrapText="1"/>
      <protection/>
    </xf>
    <xf numFmtId="0" fontId="18" fillId="0" borderId="0" xfId="23" applyFont="1" applyAlignment="1">
      <alignment horizontal="left" vertical="top" wrapText="1"/>
      <protection/>
    </xf>
    <xf numFmtId="0" fontId="6" fillId="0" borderId="0" xfId="24" applyFont="1" applyAlignment="1">
      <alignment horizontal="center"/>
      <protection/>
    </xf>
    <xf numFmtId="164" fontId="6" fillId="0" borderId="0" xfId="20" applyFont="1" applyAlignment="1">
      <alignment horizontal="center"/>
    </xf>
    <xf numFmtId="164" fontId="3" fillId="0" borderId="0" xfId="20" applyFont="1" applyAlignment="1">
      <alignment horizontal="left" vertical="center" wrapText="1"/>
    </xf>
    <xf numFmtId="0" fontId="3" fillId="0" borderId="0" xfId="31" applyFont="1" applyAlignment="1">
      <alignment horizontal="center"/>
      <protection/>
    </xf>
    <xf numFmtId="3" fontId="3" fillId="0" borderId="0" xfId="31" applyNumberFormat="1" applyFont="1" applyAlignment="1">
      <alignment horizontal="center"/>
      <protection/>
    </xf>
    <xf numFmtId="0" fontId="3" fillId="5" borderId="0" xfId="31" applyFont="1" applyFill="1" applyAlignment="1">
      <alignment horizontal="center"/>
      <protection/>
    </xf>
    <xf numFmtId="0" fontId="12" fillId="0" borderId="0" xfId="31" applyFont="1" applyAlignment="1">
      <alignment horizontal="center"/>
      <protection/>
    </xf>
    <xf numFmtId="0" fontId="12" fillId="5" borderId="0" xfId="31" applyFont="1" applyFill="1" applyAlignment="1">
      <alignment horizontal="center"/>
      <protection/>
    </xf>
    <xf numFmtId="0" fontId="3" fillId="0" borderId="0" xfId="31" applyFont="1" applyAlignment="1">
      <alignment wrapText="1"/>
      <protection/>
    </xf>
    <xf numFmtId="0" fontId="3" fillId="0" borderId="0" xfId="31" applyFont="1" applyAlignment="1">
      <alignment horizontal="left" wrapText="1"/>
      <protection/>
    </xf>
    <xf numFmtId="0" fontId="3" fillId="0" borderId="0" xfId="31" applyFont="1">
      <alignment/>
      <protection/>
    </xf>
    <xf numFmtId="0" fontId="3" fillId="0" borderId="1" xfId="31" applyFont="1" applyBorder="1" applyAlignment="1">
      <alignment horizontal="center"/>
      <protection/>
    </xf>
    <xf numFmtId="0" fontId="3" fillId="0" borderId="2" xfId="31" applyFont="1" applyBorder="1" applyAlignment="1">
      <alignment horizontal="center"/>
      <protection/>
    </xf>
    <xf numFmtId="0" fontId="3" fillId="0" borderId="3" xfId="31" applyFont="1" applyBorder="1" applyAlignment="1">
      <alignment horizontal="center"/>
      <protection/>
    </xf>
    <xf numFmtId="0" fontId="27" fillId="0" borderId="0" xfId="34" applyFont="1" applyAlignment="1">
      <alignment horizontal="center"/>
      <protection/>
    </xf>
    <xf numFmtId="0" fontId="25" fillId="0" borderId="28" xfId="34" applyFont="1" applyBorder="1" applyAlignment="1">
      <alignment horizontal="center" wrapText="1"/>
      <protection/>
    </xf>
    <xf numFmtId="0" fontId="25" fillId="0" borderId="29" xfId="34" applyFont="1" applyBorder="1" applyAlignment="1">
      <alignment horizontal="center" wrapText="1"/>
      <protection/>
    </xf>
    <xf numFmtId="0" fontId="25" fillId="0" borderId="41" xfId="34" applyFont="1" applyBorder="1" applyAlignment="1">
      <alignment horizontal="center" wrapText="1"/>
      <protection/>
    </xf>
    <xf numFmtId="0" fontId="25" fillId="0" borderId="28" xfId="34" applyFont="1" applyBorder="1" applyAlignment="1">
      <alignment horizontal="center"/>
      <protection/>
    </xf>
    <xf numFmtId="0" fontId="25" fillId="0" borderId="29" xfId="34" applyFont="1" applyBorder="1" applyAlignment="1">
      <alignment horizontal="center"/>
      <protection/>
    </xf>
    <xf numFmtId="0" fontId="25" fillId="0" borderId="41" xfId="34" applyFont="1" applyBorder="1" applyAlignment="1">
      <alignment horizontal="center"/>
      <protection/>
    </xf>
    <xf numFmtId="0" fontId="25" fillId="0" borderId="19" xfId="34" applyFont="1" applyBorder="1" applyAlignment="1">
      <alignment horizontal="center" wrapText="1"/>
      <protection/>
    </xf>
    <xf numFmtId="0" fontId="25" fillId="0" borderId="0" xfId="34" applyFont="1" applyAlignment="1">
      <alignment horizontal="center" wrapText="1"/>
      <protection/>
    </xf>
    <xf numFmtId="0" fontId="25" fillId="0" borderId="22" xfId="34" applyFont="1" applyBorder="1" applyAlignment="1">
      <alignment horizontal="center" wrapText="1"/>
      <protection/>
    </xf>
    <xf numFmtId="0" fontId="25" fillId="0" borderId="12" xfId="34" applyFont="1" applyBorder="1" applyAlignment="1">
      <alignment horizontal="center"/>
      <protection/>
    </xf>
    <xf numFmtId="0" fontId="25" fillId="0" borderId="14" xfId="34" applyFont="1" applyBorder="1" applyAlignment="1">
      <alignment horizontal="center"/>
      <protection/>
    </xf>
    <xf numFmtId="0" fontId="25" fillId="0" borderId="15" xfId="34" applyFont="1" applyBorder="1" applyAlignment="1">
      <alignment horizontal="center"/>
      <protection/>
    </xf>
    <xf numFmtId="0" fontId="29" fillId="0" borderId="28" xfId="34" applyFont="1" applyBorder="1" applyAlignment="1">
      <alignment horizontal="center" wrapText="1"/>
      <protection/>
    </xf>
    <xf numFmtId="0" fontId="29" fillId="0" borderId="29" xfId="34" applyFont="1" applyBorder="1" applyAlignment="1">
      <alignment horizontal="center" wrapText="1"/>
      <protection/>
    </xf>
    <xf numFmtId="0" fontId="29" fillId="0" borderId="41" xfId="34" applyFont="1" applyBorder="1" applyAlignment="1">
      <alignment horizontal="center" wrapText="1"/>
      <protection/>
    </xf>
    <xf numFmtId="0" fontId="29" fillId="0" borderId="28" xfId="34" applyFont="1" applyBorder="1" applyAlignment="1">
      <alignment horizontal="center"/>
      <protection/>
    </xf>
    <xf numFmtId="0" fontId="29" fillId="0" borderId="29" xfId="34" applyFont="1" applyBorder="1" applyAlignment="1">
      <alignment horizontal="center"/>
      <protection/>
    </xf>
    <xf numFmtId="0" fontId="29" fillId="0" borderId="41" xfId="34" applyFont="1" applyBorder="1" applyAlignment="1">
      <alignment horizontal="center"/>
      <protection/>
    </xf>
    <xf numFmtId="0" fontId="40" fillId="8" borderId="0" xfId="41" applyFont="1" applyFill="1" applyAlignment="1">
      <alignment horizontal="left" vertical="top" wrapText="1"/>
      <protection/>
    </xf>
    <xf numFmtId="164" fontId="49" fillId="0" borderId="0" xfId="20" applyFont="1" applyAlignment="1">
      <alignment horizontal="left" wrapText="1"/>
    </xf>
    <xf numFmtId="164" fontId="3" fillId="0" borderId="0" xfId="20" applyFont="1" applyAlignment="1">
      <alignment horizontal="center"/>
    </xf>
    <xf numFmtId="164" fontId="3" fillId="0" borderId="19" xfId="20" applyFont="1" applyBorder="1" applyAlignment="1">
      <alignment horizontal="center"/>
    </xf>
    <xf numFmtId="164" fontId="3" fillId="0" borderId="22" xfId="20" applyFont="1" applyBorder="1" applyAlignment="1">
      <alignment horizontal="center"/>
    </xf>
    <xf numFmtId="164" fontId="4" fillId="0" borderId="0" xfId="20" applyFont="1" applyAlignment="1">
      <alignment horizontal="left" vertical="top" wrapText="1"/>
    </xf>
    <xf numFmtId="0" fontId="3" fillId="0" borderId="0" xfId="26" applyFont="1" applyAlignment="1">
      <alignment horizontal="center"/>
      <protection/>
    </xf>
    <xf numFmtId="0" fontId="3" fillId="0" borderId="0" xfId="22" applyNumberFormat="1" applyFont="1" applyAlignment="1">
      <alignment horizontal="center"/>
    </xf>
    <xf numFmtId="0" fontId="6" fillId="0" borderId="0" xfId="26" applyFont="1" applyAlignment="1">
      <alignment horizontal="center"/>
      <protection/>
    </xf>
    <xf numFmtId="0" fontId="3" fillId="0" borderId="4" xfId="26" applyFont="1" applyBorder="1" applyAlignment="1">
      <alignment horizontal="left"/>
      <protection/>
    </xf>
    <xf numFmtId="0" fontId="3" fillId="0" borderId="0" xfId="26" applyFont="1" applyAlignment="1">
      <alignment horizontal="left"/>
      <protection/>
    </xf>
    <xf numFmtId="164" fontId="6" fillId="0" borderId="0" xfId="20" applyFont="1" applyAlignment="1" applyProtection="1">
      <alignment horizontal="center"/>
      <protection locked="0"/>
    </xf>
    <xf numFmtId="2" fontId="62" fillId="0" borderId="0" xfId="20" applyNumberFormat="1" applyFont="1" applyAlignment="1">
      <alignment horizontal="left" wrapText="1"/>
    </xf>
    <xf numFmtId="164" fontId="62" fillId="0" borderId="0" xfId="20" applyFont="1" applyAlignment="1">
      <alignment horizontal="left"/>
    </xf>
    <xf numFmtId="10" fontId="64" fillId="0" borderId="11" xfId="53" applyNumberFormat="1" applyFont="1" applyBorder="1" applyAlignment="1">
      <alignment horizontal="center"/>
    </xf>
    <xf numFmtId="3" fontId="3" fillId="0" borderId="0" xfId="22" applyNumberFormat="1" applyFont="1" applyAlignment="1">
      <alignment horizontal="center"/>
    </xf>
    <xf numFmtId="0" fontId="27" fillId="8" borderId="0" xfId="34" applyFont="1" applyFill="1" applyAlignment="1">
      <alignment horizontal="center" vertical="top"/>
      <protection/>
    </xf>
    <xf numFmtId="0" fontId="27" fillId="8" borderId="0" xfId="34" applyFont="1" applyFill="1" applyAlignment="1">
      <alignment horizontal="left" vertical="top" wrapText="1"/>
      <protection/>
    </xf>
    <xf numFmtId="165" fontId="34" fillId="8" borderId="0" xfId="40" applyNumberFormat="1" applyFont="1" applyFill="1"/>
    <xf numFmtId="0" fontId="27" fillId="8" borderId="0" xfId="34" applyFont="1" applyFill="1" applyAlignment="1">
      <alignment horizontal="left" vertical="top"/>
      <protection/>
    </xf>
    <xf numFmtId="0" fontId="27" fillId="8" borderId="0" xfId="34" applyFont="1" applyFill="1" applyAlignment="1">
      <alignment vertical="top"/>
      <protection/>
    </xf>
    <xf numFmtId="0" fontId="3" fillId="10" borderId="30" xfId="31" applyFont="1" applyFill="1" applyBorder="1" applyAlignment="1">
      <alignment wrapText="1"/>
      <protection/>
    </xf>
    <xf numFmtId="41" fontId="3" fillId="10" borderId="21" xfId="31" applyNumberFormat="1" applyFont="1" applyFill="1" applyBorder="1">
      <alignment/>
      <protection/>
    </xf>
    <xf numFmtId="0" fontId="3" fillId="10" borderId="31" xfId="31" applyFont="1" applyFill="1" applyBorder="1" applyAlignment="1">
      <alignment wrapText="1"/>
      <protection/>
    </xf>
    <xf numFmtId="0" fontId="3" fillId="10" borderId="32" xfId="31" applyFont="1" applyFill="1" applyBorder="1" applyAlignment="1">
      <alignment horizontal="left"/>
      <protection/>
    </xf>
    <xf numFmtId="37" fontId="3" fillId="10" borderId="21" xfId="31" applyNumberFormat="1" applyFont="1" applyFill="1" applyBorder="1">
      <alignment/>
      <protection/>
    </xf>
    <xf numFmtId="41" fontId="3" fillId="10" borderId="21" xfId="32" applyFont="1" applyFill="1" applyBorder="1"/>
  </cellXfs>
  <cellStyles count="43">
    <cellStyle name="Normal" xfId="0" builtinId="0"/>
    <cellStyle name="Percent" xfId="15" builtinId="5"/>
    <cellStyle name="Currency" xfId="16" builtinId="4"/>
    <cellStyle name="Currency [0]" xfId="17" builtinId="7"/>
    <cellStyle name="Comma" xfId="18" builtinId="3"/>
    <cellStyle name="Comma [0]" xfId="19" builtinId="6"/>
    <cellStyle name="Normal 7" xfId="20"/>
    <cellStyle name="Normal_21 Exh B" xfId="21"/>
    <cellStyle name="Normal_Attachment Os for 2002 True-up" xfId="22"/>
    <cellStyle name="Normal 3_Attach O, GG, Support -New Method 2-14-11" xfId="23"/>
    <cellStyle name="Normal_Schedule O Info for Mike" xfId="24"/>
    <cellStyle name="Normal 5" xfId="25"/>
    <cellStyle name="Normal 3 2" xfId="26"/>
    <cellStyle name="Normal_Attachment GG Example 8 26 09" xfId="27"/>
    <cellStyle name="Normal_Attachment O Support - 2004 True-up" xfId="28"/>
    <cellStyle name="Normal_Attachment GG Template ER11-28 11-18-10" xfId="29"/>
    <cellStyle name="Normal_ATC Projected 2008 Monthly Plant Balances for Attachment O 2 (2)" xfId="30"/>
    <cellStyle name="Normal 2" xfId="31"/>
    <cellStyle name="Comma [0] 2" xfId="32"/>
    <cellStyle name="Normal_AR workpaper --2002 Def Tax Exp by Account 8-14-02" xfId="33"/>
    <cellStyle name="Normal 4 3" xfId="34"/>
    <cellStyle name="Normal 2 2 2" xfId="35"/>
    <cellStyle name="Comma 2 3" xfId="36"/>
    <cellStyle name="Normal 4 2" xfId="37"/>
    <cellStyle name="Normal 2 19" xfId="38"/>
    <cellStyle name="Normal 102 3 2 2" xfId="39"/>
    <cellStyle name="Comma 3 3" xfId="40"/>
    <cellStyle name="Normal 6 6" xfId="41"/>
    <cellStyle name="Comma 4 2" xfId="42"/>
    <cellStyle name="Percent 3 3" xfId="43"/>
    <cellStyle name="Normal 10" xfId="44"/>
    <cellStyle name="Normal 2 2" xfId="45"/>
    <cellStyle name="Normal 9" xfId="46"/>
    <cellStyle name="Currency 2 2" xfId="47"/>
    <cellStyle name="Percent 2 2" xfId="48"/>
    <cellStyle name="Comma 2 2" xfId="49"/>
    <cellStyle name="Comma 11" xfId="50"/>
    <cellStyle name="Normal 11" xfId="51"/>
    <cellStyle name="Percent 7" xfId="52"/>
    <cellStyle name="Normal 3 3" xfId="53"/>
    <cellStyle name="Normal 7 2" xfId="54"/>
    <cellStyle name="Normal_Attachment GG Example 8 26 09 2" xfId="55"/>
    <cellStyle name="Normal_Attachment Os for 2002 True-up 2" xfId="5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6" Type="http://schemas.openxmlformats.org/officeDocument/2006/relationships/worksheet" Target="worksheets/sheet5.xml" /><Relationship Id="rId5" Type="http://schemas.openxmlformats.org/officeDocument/2006/relationships/worksheet" Target="worksheets/sheet4.xml" /><Relationship Id="rId4" Type="http://schemas.openxmlformats.org/officeDocument/2006/relationships/worksheet" Target="worksheets/sheet3.xml" /><Relationship Id="rId27" Type="http://schemas.openxmlformats.org/officeDocument/2006/relationships/sharedStrings" Target="sharedStrings.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1" Type="http://schemas.openxmlformats.org/officeDocument/2006/relationships/worksheet" Target="worksheets/sheet20.xml" /><Relationship Id="rId16" Type="http://schemas.openxmlformats.org/officeDocument/2006/relationships/worksheet" Target="worksheets/sheet15.xml" /><Relationship Id="rId22" Type="http://schemas.openxmlformats.org/officeDocument/2006/relationships/worksheet" Target="worksheets/sheet21.xml" /><Relationship Id="rId24" Type="http://schemas.openxmlformats.org/officeDocument/2006/relationships/worksheet" Target="worksheets/sheet23.xml" /><Relationship Id="rId14" Type="http://schemas.openxmlformats.org/officeDocument/2006/relationships/worksheet" Target="worksheets/sheet13.xml" /><Relationship Id="rId28" Type="http://schemas.openxmlformats.org/officeDocument/2006/relationships/calcChain" Target="calcChain.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worksheet" Target="worksheets/sheet22.xml" /><Relationship Id="rId25" Type="http://schemas.openxmlformats.org/officeDocument/2006/relationships/worksheet" Target="worksheets/sheet24.xml" /><Relationship Id="rId26" Type="http://schemas.openxmlformats.org/officeDocument/2006/relationships/styles" Target="styles.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drawings/_rels/vmlDrawing1.v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editAs="oneCell">
        <xdr:from>
          <xdr:col>1</xdr:col>
          <xdr:colOff>819150</xdr:colOff>
          <xdr:row>15</xdr:row>
          <xdr:rowOff>104775</xdr:rowOff>
        </xdr:from>
        <xdr:to>
          <xdr:col>4</xdr:col>
          <xdr:colOff>85725</xdr:colOff>
          <xdr:row>19</xdr:row>
          <xdr:rowOff>85725</xdr:rowOff>
        </xdr:to>
        <xdr:sp macro="">
          <xdr:nvSpPr>
            <xdr:cNvPr id="2049" name="Object 1" hidden="1">
              <a:extLst>
                <a:ext uri="{63B3BB69-23CF-44E3-9099-C40C66FF867C}">
                  <a14:compatExt spid="_x0000_s2049"/>
                </a:ext>
              </a:extLst>
            </xdr:cNvPr>
            <xdr:cNvSpPr>
              <a:spLocks noChangeAspect="1"/>
            </xdr:cNvSpPr>
          </xdr:nvSpPr>
          <xdr:spPr bwMode="auto">
            <a:xfrm>
              <a:off x="1303020" y="2590800"/>
              <a:ext cx="3291840" cy="624840"/>
            </a:xfrm>
            <a:prstGeom prst="rect"/>
            <a:noFill/>
            <a:ln w="9525">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7</xdr:col>
      <xdr:colOff>9525</xdr:colOff>
      <xdr:row>52</xdr:row>
      <xdr:rowOff>9525</xdr:rowOff>
    </xdr:from>
    <xdr:to>
      <xdr:col>13</xdr:col>
      <xdr:colOff>9526</xdr:colOff>
      <xdr:row>63</xdr:row>
      <xdr:rowOff>0</xdr:rowOff>
    </xdr:to>
    <xdr:cxnSp macro="">
      <xdr:nvCxnSpPr>
        <xdr:cNvPr id="2" name="Straight Arrow Connector 1"/>
        <xdr:cNvCxnSpPr/>
      </xdr:nvCxnSpPr>
      <xdr:spPr>
        <a:xfrm flipH="1">
          <a:off x="9509760" y="10622280"/>
          <a:ext cx="5532120" cy="2560320"/>
        </a:xfrm>
        <a:prstGeom prst="straightConnector1"/>
        <a:noFill/>
        <a:ln w="6350" cap="flat" cmpd="sng" algn="ctr">
          <a:solidFill>
            <a:srgbClr val="4472C4"/>
          </a:solidFill>
          <a:prstDash val="solid"/>
          <a:miter lim="800000"/>
          <a:headEnd type="triangle"/>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7</xdr:col>
      <xdr:colOff>0</xdr:colOff>
      <xdr:row>52</xdr:row>
      <xdr:rowOff>0</xdr:rowOff>
    </xdr:from>
    <xdr:to>
      <xdr:col>13</xdr:col>
      <xdr:colOff>19051</xdr:colOff>
      <xdr:row>63</xdr:row>
      <xdr:rowOff>0</xdr:rowOff>
    </xdr:to>
    <xdr:cxnSp macro="">
      <xdr:nvCxnSpPr>
        <xdr:cNvPr id="2" name="Straight Arrow Connector 1"/>
        <xdr:cNvCxnSpPr/>
      </xdr:nvCxnSpPr>
      <xdr:spPr>
        <a:xfrm flipH="1">
          <a:off x="9502140" y="10614660"/>
          <a:ext cx="5554980" cy="2567940"/>
        </a:xfrm>
        <a:prstGeom prst="straightConnector1"/>
        <a:noFill/>
        <a:ln w="6350" cap="flat" cmpd="sng" algn="ctr">
          <a:solidFill>
            <a:srgbClr val="4472C4"/>
          </a:solidFill>
          <a:prstDash val="solid"/>
          <a:miter lim="800000"/>
          <a:headEnd type="triangle"/>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5" Type="http://schemas.openxmlformats.org/officeDocument/2006/relationships/printerSettings" Target="../printerSettings/printerSettings17.bin" /><Relationship Id="rId4" Type="http://schemas.openxmlformats.org/officeDocument/2006/relationships/vmlDrawing" Target="../drawings/vmlDrawing1.vml" /><Relationship Id="rId2" Type="http://schemas.openxmlformats.org/officeDocument/2006/relationships/oleObject" Target="../embeddings/oleObject1.bin" /><Relationship Id="rId3" Type="http://schemas.openxmlformats.org/officeDocument/2006/relationships/image" Target="../media/image1.emf" /><Relationship Id="rId1" Type="http://schemas.openxmlformats.org/officeDocument/2006/relationships/drawing" Target="../drawings/drawing1.xml"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2" Type="http://schemas.openxmlformats.org/officeDocument/2006/relationships/printerSettings" Target="../printerSettings/printerSettings20.bin" /><Relationship Id="rId1" Type="http://schemas.openxmlformats.org/officeDocument/2006/relationships/drawing" Target="../drawings/drawing2.xml" /></Relationships>
</file>

<file path=xl/worksheets/_rels/sheet21.xml.rels><?xml version="1.0" encoding="UTF-8" standalone="yes"?><Relationships xmlns="http://schemas.openxmlformats.org/package/2006/relationships"><Relationship Id="rId2" Type="http://schemas.openxmlformats.org/officeDocument/2006/relationships/printerSettings" Target="../printerSettings/printerSettings21.bin" /><Relationship Id="rId1" Type="http://schemas.openxmlformats.org/officeDocument/2006/relationships/drawing" Target="../drawings/drawing3.xml"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7F8E9-5BD7-4255-9FA6-31C1C8187914}">
  <sheetPr>
    <pageSetUpPr fitToPage="1"/>
  </sheetPr>
  <dimension ref="A1:M270"/>
  <sheetViews>
    <sheetView tabSelected="1" view="pageBreakPreview" zoomScale="70" zoomScaleNormal="70" zoomScaleSheetLayoutView="70" workbookViewId="0" topLeftCell="A1"/>
  </sheetViews>
  <sheetFormatPr defaultColWidth="11.4255555555556" defaultRowHeight="13.2"/>
  <cols>
    <col min="1" max="1" width="7.44444444444444" style="1" customWidth="1"/>
    <col min="2" max="2" width="72" style="1" customWidth="1"/>
    <col min="3" max="3" width="61" style="1" bestFit="1" customWidth="1"/>
    <col min="4" max="4" width="21" style="1" customWidth="1"/>
    <col min="5" max="5" width="7.44444444444444" style="1" customWidth="1"/>
    <col min="6" max="6" width="9.44444444444444" style="1" customWidth="1"/>
    <col min="7" max="7" width="21.5555555555556" style="1" customWidth="1"/>
    <col min="8" max="8" width="6.33333333333333" style="1" customWidth="1"/>
    <col min="9" max="9" width="21" style="1" customWidth="1"/>
    <col min="10" max="10" width="3.44444444444444" style="1" customWidth="1"/>
    <col min="11" max="11" width="14.6666666666667" style="1" customWidth="1"/>
    <col min="12" max="12" width="18.5555555555556" style="1" bestFit="1" customWidth="1"/>
    <col min="13" max="13" width="18.8888888888889" style="1" bestFit="1" customWidth="1"/>
    <col min="14" max="16384" width="11.4444444444444" style="1"/>
  </cols>
  <sheetData>
    <row r="1" spans="1:11" ht="12.75">
      <c r="A1" s="62"/>
      <c r="B1" s="62"/>
      <c r="C1" s="62"/>
      <c r="D1" s="62"/>
      <c r="E1" s="62"/>
      <c r="F1" s="62"/>
      <c r="G1" s="62"/>
      <c r="H1" s="62"/>
      <c r="I1" s="62"/>
      <c r="J1" s="62"/>
      <c r="K1" s="266" t="s">
        <v>393</v>
      </c>
    </row>
    <row r="2" spans="1:11" ht="12.75">
      <c r="A2" s="62"/>
      <c r="B2" s="62" t="s">
        <v>312</v>
      </c>
      <c r="C2" s="62"/>
      <c r="D2" s="62"/>
      <c r="E2" s="62"/>
      <c r="F2" s="62"/>
      <c r="G2" s="62"/>
      <c r="H2" s="62"/>
      <c r="I2" s="62"/>
      <c r="J2" s="62"/>
      <c r="K2" s="62"/>
    </row>
    <row r="3" spans="1:11" ht="12.75">
      <c r="A3" s="36"/>
      <c r="B3" s="52" t="s">
        <v>97</v>
      </c>
      <c r="C3" s="264" t="str">
        <f>+'Attachment H'!D5</f>
        <v>GridLiance High Plains LLC</v>
      </c>
      <c r="D3" s="43" t="s">
        <v>394</v>
      </c>
      <c r="E3" s="52"/>
      <c r="F3" s="52"/>
      <c r="G3" s="52"/>
      <c r="H3" s="52"/>
      <c r="I3" s="267"/>
      <c r="J3" s="268"/>
      <c r="K3" s="269" t="s">
        <v>1319</v>
      </c>
    </row>
    <row r="4" spans="1:11" ht="12.75">
      <c r="A4" s="36"/>
      <c r="C4" s="38"/>
      <c r="D4" s="66" t="s">
        <v>395</v>
      </c>
      <c r="E4" s="38"/>
      <c r="F4" s="38"/>
      <c r="G4" s="38"/>
      <c r="H4" s="52"/>
      <c r="I4" s="52"/>
      <c r="J4" s="40"/>
      <c r="K4" s="40"/>
    </row>
    <row r="5" spans="1:11" ht="15.75">
      <c r="A5" s="36"/>
      <c r="B5" s="270"/>
      <c r="C5" s="40"/>
      <c r="D5" s="271" t="s">
        <v>243</v>
      </c>
      <c r="E5" s="40"/>
      <c r="F5" s="40"/>
      <c r="G5" s="40"/>
      <c r="H5" s="40"/>
      <c r="I5" s="40"/>
      <c r="J5" s="40"/>
      <c r="K5" s="40"/>
    </row>
    <row r="6" spans="2:11" ht="13.5">
      <c r="B6" s="270"/>
      <c r="J6" s="272"/>
      <c r="K6" s="272"/>
    </row>
    <row r="7" spans="1:11" ht="12.75">
      <c r="A7" s="43"/>
      <c r="C7" s="40"/>
      <c r="D7" s="39"/>
      <c r="E7" s="40"/>
      <c r="F7" s="40"/>
      <c r="G7" s="40"/>
      <c r="H7" s="40"/>
      <c r="I7" s="40"/>
      <c r="J7" s="40"/>
      <c r="K7" s="40"/>
    </row>
    <row r="8" spans="1:11" ht="12.75">
      <c r="A8" s="43"/>
      <c r="B8" s="37" t="s">
        <v>27</v>
      </c>
      <c r="C8" s="37" t="s">
        <v>28</v>
      </c>
      <c r="D8" s="37" t="s">
        <v>29</v>
      </c>
      <c r="E8" s="38" t="s">
        <v>30</v>
      </c>
      <c r="F8" s="38"/>
      <c r="G8" s="39" t="s">
        <v>31</v>
      </c>
      <c r="H8" s="38"/>
      <c r="I8" s="39" t="s">
        <v>32</v>
      </c>
      <c r="J8" s="40"/>
      <c r="K8" s="40"/>
    </row>
    <row r="9" spans="1:11" ht="12.75">
      <c r="A9" s="43" t="s">
        <v>35</v>
      </c>
      <c r="B9" s="40"/>
      <c r="C9" s="40"/>
      <c r="D9" s="272"/>
      <c r="E9" s="40"/>
      <c r="F9" s="40"/>
      <c r="G9" s="40"/>
      <c r="H9" s="40"/>
      <c r="I9" s="43" t="s">
        <v>396</v>
      </c>
      <c r="J9" s="40"/>
      <c r="K9" s="40"/>
    </row>
    <row r="10" spans="1:11" ht="13.5" thickBot="1">
      <c r="A10" s="46" t="s">
        <v>40</v>
      </c>
      <c r="B10" s="40"/>
      <c r="C10" s="40"/>
      <c r="D10" s="40"/>
      <c r="E10" s="40"/>
      <c r="F10" s="40"/>
      <c r="G10" s="40"/>
      <c r="H10" s="40"/>
      <c r="I10" s="46" t="s">
        <v>179</v>
      </c>
      <c r="J10" s="40"/>
      <c r="K10" s="40"/>
    </row>
    <row r="11" spans="1:11" ht="12.75">
      <c r="A11" s="43">
        <v>1</v>
      </c>
      <c r="B11" s="40" t="s">
        <v>397</v>
      </c>
      <c r="C11" s="40" t="s">
        <v>398</v>
      </c>
      <c r="D11" s="38"/>
      <c r="E11" s="40"/>
      <c r="F11" s="40"/>
      <c r="G11" s="40"/>
      <c r="H11" s="40"/>
      <c r="I11" s="273">
        <f>+I170</f>
        <v>-32566.370906923814</v>
      </c>
      <c r="J11" s="40"/>
      <c r="K11" s="40"/>
    </row>
    <row r="12" spans="1:11" ht="12.75">
      <c r="A12" s="43"/>
      <c r="B12" s="40"/>
      <c r="C12" s="40"/>
      <c r="D12" s="40"/>
      <c r="E12" s="40"/>
      <c r="F12" s="40"/>
      <c r="G12" s="40"/>
      <c r="H12" s="40"/>
      <c r="I12" s="38"/>
      <c r="J12" s="40"/>
      <c r="K12" s="40"/>
    </row>
    <row r="13" spans="1:11" ht="13.5" thickBot="1">
      <c r="A13" s="43" t="s">
        <v>30</v>
      </c>
      <c r="B13" s="40" t="s">
        <v>399</v>
      </c>
      <c r="C13" s="38" t="s">
        <v>400</v>
      </c>
      <c r="D13" s="46" t="s">
        <v>20</v>
      </c>
      <c r="E13" s="38"/>
      <c r="F13" s="274" t="s">
        <v>315</v>
      </c>
      <c r="G13" s="274"/>
      <c r="H13" s="40"/>
      <c r="I13" s="38"/>
      <c r="J13" s="40"/>
      <c r="K13" s="40"/>
    </row>
    <row r="14" spans="1:11" ht="12.75">
      <c r="A14" s="43">
        <f>+A11+1</f>
        <v>2</v>
      </c>
      <c r="B14" s="40" t="s">
        <v>401</v>
      </c>
      <c r="C14" s="38" t="str">
        <f>"(page 4, line "&amp;A220&amp;")"</f>
        <v>(page 4, line 29)</v>
      </c>
      <c r="D14" s="25">
        <f>I220</f>
        <v>0</v>
      </c>
      <c r="E14" s="38"/>
      <c r="F14" s="38" t="s">
        <v>402</v>
      </c>
      <c r="G14" s="25">
        <f>I189</f>
        <v>0</v>
      </c>
      <c r="H14" s="48"/>
      <c r="I14" s="25">
        <f>+G14*D14</f>
        <v>0</v>
      </c>
      <c r="J14" s="40"/>
      <c r="K14" s="40"/>
    </row>
    <row r="15" spans="1:11" ht="12.75">
      <c r="A15" s="43">
        <f>+A14+1</f>
        <v>3</v>
      </c>
      <c r="B15" s="40" t="s">
        <v>403</v>
      </c>
      <c r="C15" s="38" t="str">
        <f>"(page 4, line "&amp;A225&amp;")"</f>
        <v>(page 4, line 33)</v>
      </c>
      <c r="D15" s="25">
        <f>I225</f>
        <v>0</v>
      </c>
      <c r="E15" s="38"/>
      <c r="F15" s="38" t="s">
        <v>402</v>
      </c>
      <c r="G15" s="25">
        <f>+G14</f>
        <v>0</v>
      </c>
      <c r="H15" s="48"/>
      <c r="I15" s="25">
        <f>+G15*D15</f>
        <v>0</v>
      </c>
      <c r="J15" s="40"/>
      <c r="K15" s="40"/>
    </row>
    <row r="16" spans="1:11" ht="12.75">
      <c r="A16" s="43">
        <f>+A15+1</f>
        <v>4</v>
      </c>
      <c r="B16" s="40" t="s">
        <v>404</v>
      </c>
      <c r="C16" s="38" t="s">
        <v>405</v>
      </c>
      <c r="D16" s="25">
        <f>+'5-P3 Support'!G68</f>
        <v>0</v>
      </c>
      <c r="E16" s="38"/>
      <c r="F16" s="38" t="s">
        <v>402</v>
      </c>
      <c r="G16" s="25">
        <f>+G15</f>
        <v>0</v>
      </c>
      <c r="H16" s="48"/>
      <c r="I16" s="25">
        <f>+D16*G16</f>
        <v>0</v>
      </c>
      <c r="J16" s="40"/>
      <c r="K16" s="40"/>
    </row>
    <row r="17" spans="1:11" ht="12.75">
      <c r="A17" s="43">
        <f>+A16+1</f>
        <v>5</v>
      </c>
      <c r="B17" s="38" t="s">
        <v>406</v>
      </c>
      <c r="C17" s="90" t="s">
        <v>407</v>
      </c>
      <c r="D17" s="5">
        <v>0</v>
      </c>
      <c r="E17" s="38"/>
      <c r="F17" s="38" t="s">
        <v>402</v>
      </c>
      <c r="G17" s="25">
        <f>+G15</f>
        <v>0</v>
      </c>
      <c r="H17" s="48"/>
      <c r="I17" s="25">
        <f>+G17*D17</f>
        <v>0</v>
      </c>
      <c r="J17" s="40"/>
      <c r="K17" s="40"/>
    </row>
    <row r="18" spans="1:11" ht="13.5" thickBot="1">
      <c r="A18" s="43">
        <f>+A17+1</f>
        <v>6</v>
      </c>
      <c r="B18" s="38" t="s">
        <v>408</v>
      </c>
      <c r="C18" s="90"/>
      <c r="D18" s="5">
        <v>0</v>
      </c>
      <c r="E18" s="38"/>
      <c r="F18" s="38" t="s">
        <v>402</v>
      </c>
      <c r="G18" s="25">
        <f>+G17</f>
        <v>0</v>
      </c>
      <c r="H18" s="48"/>
      <c r="I18" s="32">
        <f>+G18*D18</f>
        <v>0</v>
      </c>
      <c r="J18" s="40"/>
      <c r="K18" s="40"/>
    </row>
    <row r="19" spans="1:11" ht="12.75">
      <c r="A19" s="43">
        <f>+A18+1</f>
        <v>7</v>
      </c>
      <c r="B19" s="40" t="s">
        <v>409</v>
      </c>
      <c r="C19" s="40" t="s">
        <v>410</v>
      </c>
      <c r="D19" s="275">
        <f>SUM(D14:D18)</f>
        <v>0</v>
      </c>
      <c r="E19" s="38"/>
      <c r="F19" s="38"/>
      <c r="G19" s="89"/>
      <c r="H19" s="48"/>
      <c r="I19" s="25">
        <f>SUM(I14:I18)</f>
        <v>0</v>
      </c>
      <c r="J19" s="40"/>
      <c r="K19" s="40"/>
    </row>
    <row r="20" spans="1:11" ht="12.75">
      <c r="A20" s="43"/>
      <c r="B20" s="36"/>
      <c r="C20" s="40"/>
      <c r="D20" s="38" t="s">
        <v>30</v>
      </c>
      <c r="E20" s="40"/>
      <c r="F20" s="40"/>
      <c r="G20" s="77"/>
      <c r="H20" s="40"/>
      <c r="I20" s="36"/>
      <c r="J20" s="40"/>
      <c r="K20" s="40"/>
    </row>
    <row r="21" spans="1:13" ht="13.5" thickBot="1">
      <c r="A21" s="43">
        <f>+A19+1</f>
        <v>8</v>
      </c>
      <c r="B21" s="40" t="s">
        <v>411</v>
      </c>
      <c r="C21" s="40" t="s">
        <v>412</v>
      </c>
      <c r="D21" s="276" t="s">
        <v>30</v>
      </c>
      <c r="E21" s="38"/>
      <c r="F21" s="38"/>
      <c r="G21" s="38"/>
      <c r="H21" s="38"/>
      <c r="I21" s="277">
        <f>I11-I19</f>
        <v>-32566.370906923814</v>
      </c>
      <c r="J21" s="40"/>
      <c r="K21" s="40"/>
      <c r="M21" s="278"/>
    </row>
    <row r="22" spans="1:13" ht="13.5" thickTop="1">
      <c r="A22" s="43"/>
      <c r="B22" s="36"/>
      <c r="C22" s="40"/>
      <c r="D22" s="276"/>
      <c r="E22" s="38"/>
      <c r="F22" s="38"/>
      <c r="G22" s="38"/>
      <c r="H22" s="38"/>
      <c r="I22" s="36"/>
      <c r="J22" s="40"/>
      <c r="K22" s="40"/>
      <c r="M22" s="234"/>
    </row>
    <row r="23" spans="1:11" ht="12.75">
      <c r="A23" s="69">
        <f>+A21+1</f>
        <v>9</v>
      </c>
      <c r="B23" s="57" t="s">
        <v>413</v>
      </c>
      <c r="C23" s="279" t="s">
        <v>414</v>
      </c>
      <c r="D23" s="25">
        <f>+'3-Project True-up'!K39</f>
        <v>0</v>
      </c>
      <c r="E23" s="57"/>
      <c r="F23" s="57" t="s">
        <v>49</v>
      </c>
      <c r="G23" s="280">
        <v>1</v>
      </c>
      <c r="H23" s="57"/>
      <c r="I23" s="5">
        <f>+G23*D23</f>
        <v>0</v>
      </c>
      <c r="K23" s="40"/>
    </row>
    <row r="24" spans="1:11" ht="12.75">
      <c r="A24" s="69"/>
      <c r="B24" s="57"/>
      <c r="C24" s="57"/>
      <c r="D24" s="57"/>
      <c r="E24" s="57"/>
      <c r="F24" s="57"/>
      <c r="G24" s="57"/>
      <c r="H24" s="57"/>
      <c r="I24" s="58"/>
      <c r="K24" s="40"/>
    </row>
    <row r="25" spans="1:11" ht="13.5" thickBot="1">
      <c r="A25" s="69">
        <f>+A23+1</f>
        <v>10</v>
      </c>
      <c r="B25" s="57" t="s">
        <v>411</v>
      </c>
      <c r="C25" s="57" t="s">
        <v>415</v>
      </c>
      <c r="D25" s="57"/>
      <c r="E25" s="58"/>
      <c r="F25" s="58"/>
      <c r="G25" s="58"/>
      <c r="H25" s="58"/>
      <c r="I25" s="281">
        <f>+I21+I23</f>
        <v>-32566.370906923814</v>
      </c>
      <c r="K25" s="40"/>
    </row>
    <row r="26" spans="1:11" ht="13.5" thickTop="1">
      <c r="A26" s="43"/>
      <c r="B26" s="38"/>
      <c r="C26" s="40"/>
      <c r="D26" s="40"/>
      <c r="E26" s="40"/>
      <c r="F26" s="36"/>
      <c r="G26" s="52"/>
      <c r="H26" s="40"/>
      <c r="I26" s="38"/>
      <c r="J26" s="40"/>
      <c r="K26" s="40"/>
    </row>
    <row r="27" spans="1:11" ht="12.75">
      <c r="A27" s="43"/>
      <c r="B27" s="40"/>
      <c r="C27" s="40"/>
      <c r="D27" s="40"/>
      <c r="E27" s="40"/>
      <c r="F27" s="36"/>
      <c r="G27" s="52"/>
      <c r="H27" s="40"/>
      <c r="I27" s="38"/>
      <c r="J27" s="40"/>
      <c r="K27" s="40"/>
    </row>
    <row r="28" spans="1:11" ht="12.75">
      <c r="A28" s="43"/>
      <c r="B28" s="38"/>
      <c r="C28" s="40"/>
      <c r="D28" s="40"/>
      <c r="E28" s="40"/>
      <c r="F28" s="40"/>
      <c r="G28" s="52"/>
      <c r="H28" s="40"/>
      <c r="I28" s="38"/>
      <c r="J28" s="40"/>
      <c r="K28" s="40"/>
    </row>
    <row r="29" spans="1:11" ht="12.75">
      <c r="A29" s="43"/>
      <c r="B29" s="38"/>
      <c r="C29" s="40"/>
      <c r="D29" s="40"/>
      <c r="E29" s="40"/>
      <c r="F29" s="40"/>
      <c r="G29" s="52"/>
      <c r="H29" s="40"/>
      <c r="I29" s="38"/>
      <c r="J29" s="40"/>
      <c r="K29" s="40"/>
    </row>
    <row r="30" spans="1:11" ht="12.75">
      <c r="A30" s="43"/>
      <c r="B30" s="38"/>
      <c r="C30" s="40"/>
      <c r="D30" s="40"/>
      <c r="E30" s="40"/>
      <c r="F30" s="40"/>
      <c r="G30" s="52"/>
      <c r="H30" s="40"/>
      <c r="I30" s="38"/>
      <c r="J30" s="40"/>
      <c r="K30" s="40"/>
    </row>
    <row r="31" spans="1:11" ht="12.75">
      <c r="A31" s="43"/>
      <c r="B31" s="52"/>
      <c r="C31" s="40"/>
      <c r="D31" s="40"/>
      <c r="E31" s="40"/>
      <c r="F31" s="40"/>
      <c r="G31" s="40"/>
      <c r="H31" s="40"/>
      <c r="I31" s="38"/>
      <c r="J31" s="40"/>
      <c r="K31" s="40"/>
    </row>
    <row r="32" spans="1:11" ht="12.75">
      <c r="A32" s="43"/>
      <c r="B32" s="40"/>
      <c r="C32" s="40"/>
      <c r="D32" s="40"/>
      <c r="E32" s="40"/>
      <c r="F32" s="40"/>
      <c r="G32" s="40"/>
      <c r="H32" s="40"/>
      <c r="I32" s="38"/>
      <c r="J32" s="40"/>
      <c r="K32" s="40"/>
    </row>
    <row r="33" spans="1:11" ht="12.75">
      <c r="A33" s="43"/>
      <c r="B33" s="40"/>
      <c r="C33" s="40"/>
      <c r="D33" s="282"/>
      <c r="E33" s="40"/>
      <c r="F33" s="40"/>
      <c r="G33" s="40"/>
      <c r="H33" s="40"/>
      <c r="I33" s="36"/>
      <c r="J33" s="40"/>
      <c r="K33" s="40"/>
    </row>
    <row r="34" spans="1:11" ht="12.75">
      <c r="A34" s="43"/>
      <c r="B34" s="40"/>
      <c r="C34" s="40"/>
      <c r="D34" s="282"/>
      <c r="E34" s="40"/>
      <c r="F34" s="40"/>
      <c r="G34" s="40"/>
      <c r="H34" s="40"/>
      <c r="I34" s="36"/>
      <c r="J34" s="40"/>
      <c r="K34" s="40"/>
    </row>
    <row r="35" spans="1:11" ht="12.75">
      <c r="A35" s="43"/>
      <c r="B35" s="40"/>
      <c r="C35" s="40"/>
      <c r="D35" s="283"/>
      <c r="E35" s="40"/>
      <c r="F35" s="40"/>
      <c r="G35" s="40"/>
      <c r="H35" s="40"/>
      <c r="I35" s="36"/>
      <c r="J35" s="40"/>
      <c r="K35" s="40"/>
    </row>
    <row r="36" spans="1:11" ht="12.75">
      <c r="A36" s="43"/>
      <c r="B36" s="40"/>
      <c r="C36" s="40"/>
      <c r="D36" s="284"/>
      <c r="E36" s="40"/>
      <c r="F36" s="40"/>
      <c r="G36" s="40"/>
      <c r="H36" s="40"/>
      <c r="I36" s="97"/>
      <c r="J36" s="40"/>
      <c r="K36" s="40"/>
    </row>
    <row r="37" spans="1:11" ht="12.75">
      <c r="A37" s="43"/>
      <c r="B37" s="40"/>
      <c r="C37" s="285"/>
      <c r="D37" s="282"/>
      <c r="E37" s="40"/>
      <c r="F37" s="40"/>
      <c r="G37" s="40"/>
      <c r="H37" s="40"/>
      <c r="I37" s="286"/>
      <c r="J37" s="40"/>
      <c r="K37" s="40"/>
    </row>
    <row r="38" spans="1:11" ht="12.75">
      <c r="A38" s="43"/>
      <c r="B38" s="40"/>
      <c r="C38" s="285"/>
      <c r="D38" s="282"/>
      <c r="E38" s="40"/>
      <c r="F38" s="36"/>
      <c r="G38" s="40"/>
      <c r="H38" s="40"/>
      <c r="I38" s="286"/>
      <c r="J38" s="40"/>
      <c r="K38" s="40"/>
    </row>
    <row r="39" spans="1:11" ht="12.75">
      <c r="A39" s="43"/>
      <c r="B39" s="40"/>
      <c r="C39" s="285"/>
      <c r="D39" s="282"/>
      <c r="E39" s="40"/>
      <c r="F39" s="36"/>
      <c r="G39" s="40"/>
      <c r="H39" s="40"/>
      <c r="I39" s="286"/>
      <c r="J39" s="40"/>
      <c r="K39" s="40"/>
    </row>
    <row r="40" spans="1:11" ht="12.75">
      <c r="A40" s="43"/>
      <c r="B40" s="40"/>
      <c r="C40" s="40"/>
      <c r="D40" s="40"/>
      <c r="E40" s="40"/>
      <c r="F40" s="36"/>
      <c r="G40" s="40"/>
      <c r="H40" s="40"/>
      <c r="I40" s="36"/>
      <c r="J40" s="40"/>
      <c r="K40" s="40"/>
    </row>
    <row r="41" spans="1:11" ht="12.75">
      <c r="A41" s="43"/>
      <c r="B41" s="40"/>
      <c r="C41" s="40"/>
      <c r="D41" s="40"/>
      <c r="E41" s="40"/>
      <c r="F41" s="36"/>
      <c r="G41" s="40"/>
      <c r="H41" s="40"/>
      <c r="I41" s="36"/>
      <c r="J41" s="40"/>
      <c r="K41" s="40"/>
    </row>
    <row r="42" spans="1:11" ht="12.75">
      <c r="A42" s="43"/>
      <c r="B42" s="40"/>
      <c r="C42" s="40"/>
      <c r="D42" s="287"/>
      <c r="E42" s="287"/>
      <c r="F42" s="287"/>
      <c r="G42" s="287"/>
      <c r="H42" s="287"/>
      <c r="I42" s="287"/>
      <c r="J42" s="287"/>
      <c r="K42" s="40"/>
    </row>
    <row r="43" spans="1:11" ht="12.75">
      <c r="A43" s="43"/>
      <c r="B43" s="40"/>
      <c r="C43" s="40"/>
      <c r="D43" s="287"/>
      <c r="E43" s="287"/>
      <c r="F43" s="287"/>
      <c r="G43" s="287"/>
      <c r="H43" s="287"/>
      <c r="I43" s="287"/>
      <c r="J43" s="287"/>
      <c r="K43" s="40"/>
    </row>
    <row r="44" spans="1:11" ht="12.75">
      <c r="A44" s="43"/>
      <c r="B44" s="40"/>
      <c r="C44" s="40"/>
      <c r="D44" s="287"/>
      <c r="E44" s="287"/>
      <c r="F44" s="287"/>
      <c r="G44" s="287"/>
      <c r="H44" s="287"/>
      <c r="I44" s="287"/>
      <c r="J44" s="287"/>
      <c r="K44" s="40"/>
    </row>
    <row r="45" spans="1:11" ht="12.75">
      <c r="A45" s="43"/>
      <c r="B45" s="40"/>
      <c r="C45" s="40"/>
      <c r="D45" s="287"/>
      <c r="E45" s="287"/>
      <c r="F45" s="287"/>
      <c r="G45" s="287"/>
      <c r="H45" s="287"/>
      <c r="I45" s="287"/>
      <c r="J45" s="287"/>
      <c r="K45" s="40"/>
    </row>
    <row r="46" spans="1:11" ht="12.75">
      <c r="A46" s="43"/>
      <c r="B46" s="40"/>
      <c r="C46" s="40"/>
      <c r="D46" s="287"/>
      <c r="E46" s="287"/>
      <c r="F46" s="287"/>
      <c r="G46" s="287"/>
      <c r="H46" s="287"/>
      <c r="I46" s="287"/>
      <c r="J46" s="287"/>
      <c r="K46" s="40"/>
    </row>
    <row r="47" spans="1:11" ht="12.75">
      <c r="A47" s="43"/>
      <c r="B47" s="40"/>
      <c r="C47" s="40"/>
      <c r="D47" s="287"/>
      <c r="E47" s="287"/>
      <c r="F47" s="287"/>
      <c r="G47" s="287"/>
      <c r="H47" s="287"/>
      <c r="I47" s="287"/>
      <c r="J47" s="287"/>
      <c r="K47" s="40"/>
    </row>
    <row r="48" spans="1:11" ht="12.75">
      <c r="A48" s="43"/>
      <c r="B48" s="40"/>
      <c r="C48" s="40"/>
      <c r="D48" s="287"/>
      <c r="E48" s="287"/>
      <c r="F48" s="287"/>
      <c r="G48" s="287"/>
      <c r="H48" s="287"/>
      <c r="I48" s="287"/>
      <c r="J48" s="287"/>
      <c r="K48" s="40"/>
    </row>
    <row r="49" spans="1:11" ht="12.75">
      <c r="A49" s="43"/>
      <c r="B49" s="40"/>
      <c r="C49" s="40"/>
      <c r="D49" s="287"/>
      <c r="E49" s="287"/>
      <c r="F49" s="287"/>
      <c r="G49" s="287"/>
      <c r="H49" s="287"/>
      <c r="I49" s="287"/>
      <c r="J49" s="287"/>
      <c r="K49" s="40"/>
    </row>
    <row r="50" spans="1:11" ht="12.75">
      <c r="A50" s="43"/>
      <c r="B50" s="40"/>
      <c r="C50" s="40"/>
      <c r="D50" s="287"/>
      <c r="E50" s="287"/>
      <c r="F50" s="287"/>
      <c r="G50" s="287"/>
      <c r="H50" s="287"/>
      <c r="I50" s="287"/>
      <c r="J50" s="287"/>
      <c r="K50" s="40"/>
    </row>
    <row r="51" spans="1:11" ht="12.75">
      <c r="A51" s="43"/>
      <c r="B51" s="40"/>
      <c r="C51" s="40"/>
      <c r="D51" s="287"/>
      <c r="E51" s="287"/>
      <c r="F51" s="287"/>
      <c r="G51" s="287"/>
      <c r="H51" s="287"/>
      <c r="I51" s="287"/>
      <c r="J51" s="287"/>
      <c r="K51" s="40"/>
    </row>
    <row r="52" spans="1:11" ht="12.75">
      <c r="A52" s="36"/>
      <c r="B52" s="40"/>
      <c r="C52" s="40"/>
      <c r="D52" s="40"/>
      <c r="E52" s="40"/>
      <c r="F52" s="40"/>
      <c r="G52" s="40"/>
      <c r="H52" s="40"/>
      <c r="I52" s="288"/>
      <c r="J52" s="40"/>
      <c r="K52" s="289" t="s">
        <v>416</v>
      </c>
    </row>
    <row r="53" spans="1:11" ht="12.75">
      <c r="A53" s="36"/>
      <c r="B53" s="40"/>
      <c r="C53" s="40"/>
      <c r="D53" s="40"/>
      <c r="E53" s="40"/>
      <c r="F53" s="40"/>
      <c r="G53" s="40"/>
      <c r="H53" s="40"/>
      <c r="I53" s="40"/>
      <c r="J53" s="40"/>
      <c r="K53" s="40"/>
    </row>
    <row r="54" spans="1:11" ht="12.75">
      <c r="A54" s="36"/>
      <c r="B54" s="40" t="s">
        <v>97</v>
      </c>
      <c r="C54" s="40"/>
      <c r="D54" s="37" t="s">
        <v>394</v>
      </c>
      <c r="E54" s="40"/>
      <c r="F54" s="40"/>
      <c r="G54" s="40"/>
      <c r="H54" s="40"/>
      <c r="I54" s="62"/>
      <c r="J54" s="40"/>
      <c r="K54" s="289" t="str">
        <f>K3</f>
        <v>For the 12 months ended 12/31/2021</v>
      </c>
    </row>
    <row r="55" spans="1:11" ht="12.75">
      <c r="A55" s="36"/>
      <c r="B55" s="290"/>
      <c r="C55" s="38"/>
      <c r="D55" s="66" t="s">
        <v>395</v>
      </c>
      <c r="E55" s="38"/>
      <c r="F55" s="38"/>
      <c r="G55" s="38"/>
      <c r="H55" s="38"/>
      <c r="I55" s="38"/>
      <c r="J55" s="38"/>
      <c r="K55" s="38"/>
    </row>
    <row r="56" spans="1:11" ht="12.75">
      <c r="A56" s="36"/>
      <c r="B56" s="40"/>
      <c r="C56" s="38"/>
      <c r="D56" s="66" t="str">
        <f>+D5</f>
        <v>GridLiance High Plains LLC</v>
      </c>
      <c r="E56" s="38"/>
      <c r="F56" s="38"/>
      <c r="G56" s="38" t="s">
        <v>30</v>
      </c>
      <c r="H56" s="38"/>
      <c r="I56" s="38"/>
      <c r="J56" s="38"/>
      <c r="K56" s="38"/>
    </row>
    <row r="57" spans="1:11" ht="12.75">
      <c r="A57" s="1035"/>
      <c r="B57" s="1035"/>
      <c r="C57" s="1035"/>
      <c r="D57" s="1035"/>
      <c r="E57" s="1035"/>
      <c r="F57" s="1035"/>
      <c r="G57" s="1035"/>
      <c r="H57" s="1035"/>
      <c r="I57" s="1035"/>
      <c r="J57" s="1035"/>
      <c r="K57" s="1035"/>
    </row>
    <row r="58" spans="1:11" ht="12.75">
      <c r="A58" s="36"/>
      <c r="B58" s="37" t="s">
        <v>27</v>
      </c>
      <c r="C58" s="37" t="s">
        <v>28</v>
      </c>
      <c r="D58" s="37" t="s">
        <v>29</v>
      </c>
      <c r="E58" s="38" t="s">
        <v>30</v>
      </c>
      <c r="F58" s="38"/>
      <c r="G58" s="39" t="s">
        <v>31</v>
      </c>
      <c r="H58" s="38"/>
      <c r="I58" s="39" t="s">
        <v>32</v>
      </c>
      <c r="J58" s="38"/>
      <c r="K58" s="37"/>
    </row>
    <row r="59" spans="1:11" ht="12.75">
      <c r="A59" s="36"/>
      <c r="B59" s="40"/>
      <c r="C59" s="41"/>
      <c r="D59" s="38"/>
      <c r="E59" s="38"/>
      <c r="F59" s="38"/>
      <c r="G59" s="43"/>
      <c r="H59" s="38"/>
      <c r="I59" s="42" t="s">
        <v>314</v>
      </c>
      <c r="J59" s="38"/>
      <c r="K59" s="37"/>
    </row>
    <row r="60" spans="1:11" ht="12.75">
      <c r="A60" s="43" t="s">
        <v>35</v>
      </c>
      <c r="B60" s="40"/>
      <c r="C60" s="44" t="s">
        <v>36</v>
      </c>
      <c r="D60" s="42" t="s">
        <v>37</v>
      </c>
      <c r="E60" s="45"/>
      <c r="F60" s="42" t="s">
        <v>33</v>
      </c>
      <c r="G60" s="36"/>
      <c r="H60" s="45"/>
      <c r="I60" s="43" t="s">
        <v>39</v>
      </c>
      <c r="J60" s="38"/>
      <c r="K60" s="37"/>
    </row>
    <row r="61" spans="1:11" ht="13.5" thickBot="1">
      <c r="A61" s="46" t="s">
        <v>40</v>
      </c>
      <c r="B61" s="47" t="s">
        <v>41</v>
      </c>
      <c r="C61" s="38"/>
      <c r="D61" s="38"/>
      <c r="E61" s="38"/>
      <c r="F61" s="38"/>
      <c r="G61" s="38"/>
      <c r="H61" s="38"/>
      <c r="I61" s="38"/>
      <c r="J61" s="38"/>
      <c r="K61" s="38"/>
    </row>
    <row r="62" spans="1:11" ht="12.75">
      <c r="A62" s="43"/>
      <c r="B62" s="40" t="s">
        <v>417</v>
      </c>
      <c r="C62" s="38"/>
      <c r="D62" s="38"/>
      <c r="E62" s="38"/>
      <c r="F62" s="38"/>
      <c r="G62" s="38"/>
      <c r="H62" s="38"/>
      <c r="I62" s="38"/>
      <c r="J62" s="38"/>
      <c r="K62" s="38"/>
    </row>
    <row r="63" spans="1:11" ht="12.75">
      <c r="A63" s="43">
        <v>1</v>
      </c>
      <c r="B63" s="40" t="s">
        <v>44</v>
      </c>
      <c r="C63" s="48" t="s">
        <v>418</v>
      </c>
      <c r="D63" s="59">
        <v>0</v>
      </c>
      <c r="E63" s="38"/>
      <c r="F63" s="38" t="s">
        <v>45</v>
      </c>
      <c r="G63" s="49" t="s">
        <v>30</v>
      </c>
      <c r="H63" s="38"/>
      <c r="I63" s="5">
        <v>0</v>
      </c>
      <c r="J63" s="38"/>
      <c r="K63" s="38"/>
    </row>
    <row r="64" spans="1:11" ht="12.75">
      <c r="A64" s="43">
        <f>+A63+1</f>
        <v>2</v>
      </c>
      <c r="B64" s="40" t="s">
        <v>46</v>
      </c>
      <c r="C64" s="48" t="s">
        <v>419</v>
      </c>
      <c r="D64" s="50">
        <f>'4- Rate Base'!C24</f>
        <v>0</v>
      </c>
      <c r="E64" s="38"/>
      <c r="F64" s="38" t="s">
        <v>402</v>
      </c>
      <c r="G64" s="25">
        <f>I189</f>
        <v>0</v>
      </c>
      <c r="H64" s="48"/>
      <c r="I64" s="5">
        <f>+G64*D64</f>
        <v>0</v>
      </c>
      <c r="J64" s="38"/>
      <c r="K64" s="38"/>
    </row>
    <row r="65" spans="1:11" ht="12.75">
      <c r="A65" s="43">
        <f t="shared" si="0" ref="A65:A104">+A64+1</f>
        <v>3</v>
      </c>
      <c r="B65" s="40" t="s">
        <v>47</v>
      </c>
      <c r="C65" s="48" t="s">
        <v>202</v>
      </c>
      <c r="D65" s="60">
        <f>'11a-Wholesale Distribution '!D193</f>
        <v>14909649</v>
      </c>
      <c r="E65" s="38"/>
      <c r="F65" s="38" t="s">
        <v>45</v>
      </c>
      <c r="G65" s="25">
        <v>0</v>
      </c>
      <c r="H65" s="48"/>
      <c r="I65" s="5">
        <v>0</v>
      </c>
      <c r="J65" s="38"/>
      <c r="K65" s="38"/>
    </row>
    <row r="66" spans="1:11" ht="12.75">
      <c r="A66" s="43">
        <f t="shared" si="0"/>
        <v>4</v>
      </c>
      <c r="B66" s="40" t="s">
        <v>50</v>
      </c>
      <c r="C66" s="48" t="s">
        <v>420</v>
      </c>
      <c r="D66" s="5">
        <f>'4- Rate Base'!D24</f>
        <v>0</v>
      </c>
      <c r="E66" s="38"/>
      <c r="F66" s="38" t="s">
        <v>51</v>
      </c>
      <c r="G66" s="25">
        <f>I197</f>
        <v>0</v>
      </c>
      <c r="H66" s="48"/>
      <c r="I66" s="5">
        <f>+G66*D66</f>
        <v>0</v>
      </c>
      <c r="J66" s="38"/>
      <c r="K66" s="38"/>
    </row>
    <row r="67" spans="1:11" ht="13.5" thickBot="1">
      <c r="A67" s="43">
        <f t="shared" si="0"/>
        <v>5</v>
      </c>
      <c r="B67" s="40" t="s">
        <v>52</v>
      </c>
      <c r="C67" s="38" t="s">
        <v>421</v>
      </c>
      <c r="D67" s="291">
        <v>0</v>
      </c>
      <c r="E67" s="38"/>
      <c r="F67" s="38" t="s">
        <v>53</v>
      </c>
      <c r="G67" s="25">
        <f>K201</f>
        <v>0</v>
      </c>
      <c r="H67" s="48"/>
      <c r="I67" s="51">
        <f>+G67*D67</f>
        <v>0</v>
      </c>
      <c r="J67" s="38"/>
      <c r="K67" s="38"/>
    </row>
    <row r="68" spans="1:11" ht="24" customHeight="1">
      <c r="A68" s="43">
        <f t="shared" si="0"/>
        <v>6</v>
      </c>
      <c r="B68" s="52" t="s">
        <v>54</v>
      </c>
      <c r="C68" s="38" t="s">
        <v>55</v>
      </c>
      <c r="D68" s="5">
        <f>SUM(D63:D67)</f>
        <v>14909649</v>
      </c>
      <c r="E68" s="38"/>
      <c r="F68" s="38" t="s">
        <v>56</v>
      </c>
      <c r="G68" s="53">
        <f>IF(I68&gt;0,I68/D68,0)</f>
        <v>0</v>
      </c>
      <c r="H68" s="48"/>
      <c r="I68" s="5">
        <f>SUM(I63:I67)</f>
        <v>0</v>
      </c>
      <c r="J68" s="38"/>
      <c r="K68" s="54"/>
    </row>
    <row r="69" spans="1:11" ht="12.75">
      <c r="A69" s="43"/>
      <c r="B69" s="40"/>
      <c r="C69" s="38"/>
      <c r="D69" s="5"/>
      <c r="E69" s="38"/>
      <c r="F69" s="38"/>
      <c r="G69" s="54"/>
      <c r="H69" s="38"/>
      <c r="I69" s="5"/>
      <c r="J69" s="38"/>
      <c r="K69" s="54"/>
    </row>
    <row r="70" spans="1:11" ht="12.75">
      <c r="A70" s="43">
        <f>+A68+1</f>
        <v>7</v>
      </c>
      <c r="B70" s="40" t="s">
        <v>422</v>
      </c>
      <c r="C70" s="38"/>
      <c r="D70" s="5"/>
      <c r="E70" s="38"/>
      <c r="F70" s="38"/>
      <c r="G70" s="38"/>
      <c r="H70" s="38"/>
      <c r="I70" s="5"/>
      <c r="J70" s="38"/>
      <c r="K70" s="38"/>
    </row>
    <row r="71" spans="1:11" ht="12.75">
      <c r="A71" s="43">
        <f t="shared" si="0"/>
        <v>8</v>
      </c>
      <c r="B71" s="40" t="s">
        <v>44</v>
      </c>
      <c r="C71" s="38" t="s">
        <v>423</v>
      </c>
      <c r="D71" s="59">
        <v>0</v>
      </c>
      <c r="E71" s="38"/>
      <c r="F71" s="38" t="s">
        <v>45</v>
      </c>
      <c r="G71" s="49" t="s">
        <v>30</v>
      </c>
      <c r="H71" s="38"/>
      <c r="I71" s="5">
        <v>0</v>
      </c>
      <c r="J71" s="38"/>
      <c r="K71" s="38"/>
    </row>
    <row r="72" spans="1:11" ht="12.75">
      <c r="A72" s="43">
        <f t="shared" si="0"/>
        <v>9</v>
      </c>
      <c r="B72" s="40" t="s">
        <v>46</v>
      </c>
      <c r="C72" s="38" t="s">
        <v>424</v>
      </c>
      <c r="D72" s="5">
        <f>'4- Rate Base'!I24</f>
        <v>0</v>
      </c>
      <c r="E72" s="38"/>
      <c r="F72" s="38" t="s">
        <v>402</v>
      </c>
      <c r="G72" s="25">
        <f>+G64</f>
        <v>0</v>
      </c>
      <c r="H72" s="48"/>
      <c r="I72" s="5">
        <f>+G72*D72</f>
        <v>0</v>
      </c>
      <c r="J72" s="38"/>
      <c r="K72" s="38"/>
    </row>
    <row r="73" spans="1:11" ht="12.75">
      <c r="A73" s="43">
        <f t="shared" si="0"/>
        <v>10</v>
      </c>
      <c r="B73" s="40" t="s">
        <v>47</v>
      </c>
      <c r="C73" s="38" t="s">
        <v>425</v>
      </c>
      <c r="D73" s="59">
        <f>'11a-Wholesale Distribution '!E193</f>
        <v>4970927.3173944838</v>
      </c>
      <c r="E73" s="38"/>
      <c r="F73" s="38" t="s">
        <v>45</v>
      </c>
      <c r="G73" s="25">
        <f>+G65</f>
        <v>0</v>
      </c>
      <c r="H73" s="48"/>
      <c r="I73" s="5">
        <f>+G73*D73</f>
        <v>0</v>
      </c>
      <c r="J73" s="38"/>
      <c r="K73" s="38"/>
    </row>
    <row r="74" spans="1:11" ht="12.75">
      <c r="A74" s="43">
        <f t="shared" si="0"/>
        <v>11</v>
      </c>
      <c r="B74" s="40" t="s">
        <v>50</v>
      </c>
      <c r="C74" s="38" t="s">
        <v>426</v>
      </c>
      <c r="D74" s="5">
        <f>'4- Rate Base'!J24</f>
        <v>0</v>
      </c>
      <c r="E74" s="38"/>
      <c r="F74" s="38" t="s">
        <v>51</v>
      </c>
      <c r="G74" s="25">
        <f>+G66</f>
        <v>0</v>
      </c>
      <c r="H74" s="48"/>
      <c r="I74" s="5">
        <f>+G74*D74</f>
        <v>0</v>
      </c>
      <c r="J74" s="38"/>
      <c r="K74" s="38"/>
    </row>
    <row r="75" spans="1:11" ht="13.5" thickBot="1">
      <c r="A75" s="43">
        <f t="shared" si="0"/>
        <v>12</v>
      </c>
      <c r="B75" s="40" t="s">
        <v>52</v>
      </c>
      <c r="C75" s="38" t="s">
        <v>421</v>
      </c>
      <c r="D75" s="291">
        <v>0</v>
      </c>
      <c r="E75" s="38"/>
      <c r="F75" s="38" t="s">
        <v>53</v>
      </c>
      <c r="G75" s="25">
        <f>+G67</f>
        <v>0</v>
      </c>
      <c r="H75" s="48"/>
      <c r="I75" s="51">
        <f>+G75*D75</f>
        <v>0</v>
      </c>
      <c r="J75" s="38"/>
      <c r="K75" s="38"/>
    </row>
    <row r="76" spans="1:11" ht="12.75">
      <c r="A76" s="43">
        <f t="shared" si="0"/>
        <v>13</v>
      </c>
      <c r="B76" s="40" t="s">
        <v>59</v>
      </c>
      <c r="C76" s="38" t="s">
        <v>60</v>
      </c>
      <c r="D76" s="5">
        <f>SUM(D71:D75)</f>
        <v>4970927.3173944838</v>
      </c>
      <c r="E76" s="38"/>
      <c r="F76" s="38"/>
      <c r="G76" s="25"/>
      <c r="H76" s="48"/>
      <c r="I76" s="5">
        <f>SUM(I71:I75)</f>
        <v>0</v>
      </c>
      <c r="J76" s="38"/>
      <c r="K76" s="38"/>
    </row>
    <row r="77" spans="1:11" ht="12.75">
      <c r="A77" s="43"/>
      <c r="B77" s="36"/>
      <c r="C77" s="38" t="s">
        <v>30</v>
      </c>
      <c r="D77" s="5"/>
      <c r="E77" s="38"/>
      <c r="F77" s="38"/>
      <c r="G77" s="53"/>
      <c r="H77" s="38"/>
      <c r="I77" s="5"/>
      <c r="J77" s="38"/>
      <c r="K77" s="54"/>
    </row>
    <row r="78" spans="1:11" ht="12.75">
      <c r="A78" s="43">
        <f>+A76+1</f>
        <v>14</v>
      </c>
      <c r="B78" s="40" t="s">
        <v>61</v>
      </c>
      <c r="C78" s="38"/>
      <c r="D78" s="5"/>
      <c r="E78" s="38"/>
      <c r="F78" s="38"/>
      <c r="G78" s="25"/>
      <c r="H78" s="38"/>
      <c r="I78" s="5"/>
      <c r="J78" s="38"/>
      <c r="K78" s="38"/>
    </row>
    <row r="79" spans="1:11" ht="12.75">
      <c r="A79" s="43">
        <f t="shared" si="0"/>
        <v>15</v>
      </c>
      <c r="B79" s="40" t="s">
        <v>44</v>
      </c>
      <c r="C79" s="38" t="str">
        <f>"(line "&amp;A63&amp;" - line "&amp;A71&amp;")"</f>
        <v>(line 1 - line 8)</v>
      </c>
      <c r="D79" s="5">
        <f>D63-D71</f>
        <v>0</v>
      </c>
      <c r="E79" s="48"/>
      <c r="F79" s="48"/>
      <c r="G79" s="53"/>
      <c r="H79" s="48"/>
      <c r="I79" s="5">
        <f>I63-I71</f>
        <v>0</v>
      </c>
      <c r="J79" s="38"/>
      <c r="K79" s="54"/>
    </row>
    <row r="80" spans="1:11" ht="12.75">
      <c r="A80" s="43">
        <f t="shared" si="0"/>
        <v>16</v>
      </c>
      <c r="B80" s="40" t="s">
        <v>46</v>
      </c>
      <c r="C80" s="38" t="s">
        <v>62</v>
      </c>
      <c r="D80" s="5">
        <f>D64-D72</f>
        <v>0</v>
      </c>
      <c r="E80" s="48"/>
      <c r="F80" s="48"/>
      <c r="G80" s="25"/>
      <c r="H80" s="48"/>
      <c r="I80" s="5">
        <f>I64-I72</f>
        <v>0</v>
      </c>
      <c r="J80" s="38"/>
      <c r="K80" s="54"/>
    </row>
    <row r="81" spans="1:11" ht="12.75">
      <c r="A81" s="43">
        <f t="shared" si="0"/>
        <v>17</v>
      </c>
      <c r="B81" s="40" t="s">
        <v>47</v>
      </c>
      <c r="C81" s="38" t="str">
        <f>"(line "&amp;A65&amp;" - line "&amp;A73&amp;")"</f>
        <v>(line 3 - line 10)</v>
      </c>
      <c r="D81" s="5">
        <f>D65-D73</f>
        <v>9938721.6826055162</v>
      </c>
      <c r="E81" s="48"/>
      <c r="F81" s="48"/>
      <c r="G81" s="53"/>
      <c r="H81" s="48"/>
      <c r="I81" s="5">
        <f>I65-I73</f>
        <v>0</v>
      </c>
      <c r="J81" s="38"/>
      <c r="K81" s="54"/>
    </row>
    <row r="82" spans="1:11" ht="12.75">
      <c r="A82" s="43">
        <f t="shared" si="0"/>
        <v>18</v>
      </c>
      <c r="B82" s="40" t="s">
        <v>50</v>
      </c>
      <c r="C82" s="38" t="s">
        <v>63</v>
      </c>
      <c r="D82" s="5">
        <f>D66-D74</f>
        <v>0</v>
      </c>
      <c r="E82" s="48"/>
      <c r="F82" s="48"/>
      <c r="G82" s="53"/>
      <c r="H82" s="48"/>
      <c r="I82" s="5">
        <f>I66-I74</f>
        <v>0</v>
      </c>
      <c r="J82" s="38"/>
      <c r="K82" s="54"/>
    </row>
    <row r="83" spans="1:11" ht="13.5" thickBot="1">
      <c r="A83" s="43">
        <f t="shared" si="0"/>
        <v>19</v>
      </c>
      <c r="B83" s="40" t="s">
        <v>52</v>
      </c>
      <c r="C83" s="38" t="str">
        <f>"(line "&amp;A67&amp;" - line "&amp;A75&amp;")"</f>
        <v>(line 5 - line 12)</v>
      </c>
      <c r="D83" s="51">
        <f>D67-D75</f>
        <v>0</v>
      </c>
      <c r="E83" s="48"/>
      <c r="F83" s="48"/>
      <c r="G83" s="53"/>
      <c r="H83" s="48"/>
      <c r="I83" s="51">
        <f>I67-I75</f>
        <v>0</v>
      </c>
      <c r="J83" s="38"/>
      <c r="K83" s="54"/>
    </row>
    <row r="84" spans="1:11" ht="12.75">
      <c r="A84" s="43">
        <f t="shared" si="0"/>
        <v>20</v>
      </c>
      <c r="B84" s="40" t="s">
        <v>64</v>
      </c>
      <c r="C84" s="38" t="s">
        <v>65</v>
      </c>
      <c r="D84" s="5">
        <f>SUM(D79:D83)</f>
        <v>9938721.6826055162</v>
      </c>
      <c r="E84" s="48"/>
      <c r="F84" s="48" t="s">
        <v>66</v>
      </c>
      <c r="G84" s="53">
        <f>IF(I84&gt;0,I84/D84,0)</f>
        <v>0</v>
      </c>
      <c r="H84" s="48"/>
      <c r="I84" s="5">
        <f>SUM(I79:I83)</f>
        <v>0</v>
      </c>
      <c r="J84" s="38"/>
      <c r="K84" s="38"/>
    </row>
    <row r="85" spans="1:11" ht="12.75">
      <c r="A85" s="43"/>
      <c r="B85" s="36"/>
      <c r="C85" s="38"/>
      <c r="D85" s="5"/>
      <c r="E85" s="38"/>
      <c r="F85" s="36"/>
      <c r="G85" s="36"/>
      <c r="H85" s="38"/>
      <c r="I85" s="5"/>
      <c r="J85" s="38"/>
      <c r="K85" s="54"/>
    </row>
    <row r="86" spans="1:11" ht="12.75">
      <c r="A86" s="43">
        <f>+A84+1</f>
        <v>21</v>
      </c>
      <c r="B86" s="52" t="s">
        <v>427</v>
      </c>
      <c r="C86" s="38"/>
      <c r="D86" s="5"/>
      <c r="E86" s="38"/>
      <c r="F86" s="38"/>
      <c r="G86" s="38"/>
      <c r="H86" s="38"/>
      <c r="I86" s="5"/>
      <c r="J86" s="38"/>
      <c r="K86" s="38"/>
    </row>
    <row r="87" spans="1:11" ht="12.75">
      <c r="A87" s="43">
        <f t="shared" si="0"/>
        <v>22</v>
      </c>
      <c r="B87" s="40" t="s">
        <v>68</v>
      </c>
      <c r="C87" s="38" t="s">
        <v>428</v>
      </c>
      <c r="D87" s="5">
        <f>+'4- Rate Base'!E44</f>
        <v>0</v>
      </c>
      <c r="E87" s="38"/>
      <c r="F87" s="38" t="s">
        <v>45</v>
      </c>
      <c r="G87" s="55" t="s">
        <v>69</v>
      </c>
      <c r="H87" s="48"/>
      <c r="I87" s="5">
        <v>0</v>
      </c>
      <c r="J87" s="38"/>
      <c r="K87" s="54"/>
    </row>
    <row r="88" spans="1:11" ht="12.75">
      <c r="A88" s="43">
        <f t="shared" si="0"/>
        <v>23</v>
      </c>
      <c r="B88" s="40" t="s">
        <v>70</v>
      </c>
      <c r="C88" s="38" t="s">
        <v>429</v>
      </c>
      <c r="D88" s="5">
        <f>+'4- Rate Base'!F44</f>
        <v>-511867.60651903506</v>
      </c>
      <c r="E88" s="38"/>
      <c r="F88" s="38" t="s">
        <v>49</v>
      </c>
      <c r="G88" s="56">
        <v>1</v>
      </c>
      <c r="H88" s="48"/>
      <c r="I88" s="5">
        <f>D88*G88</f>
        <v>-511867.60651903506</v>
      </c>
      <c r="J88" s="38"/>
      <c r="K88" s="54"/>
    </row>
    <row r="89" spans="1:11" ht="12.75">
      <c r="A89" s="43">
        <f t="shared" si="0"/>
        <v>24</v>
      </c>
      <c r="B89" s="40" t="s">
        <v>71</v>
      </c>
      <c r="C89" s="38" t="s">
        <v>430</v>
      </c>
      <c r="D89" s="5">
        <f>+'4- Rate Base'!G44</f>
        <v>-1952.7178082191781</v>
      </c>
      <c r="E89" s="38"/>
      <c r="F89" s="38" t="s">
        <v>49</v>
      </c>
      <c r="G89" s="56">
        <f>+G88</f>
        <v>1</v>
      </c>
      <c r="H89" s="48"/>
      <c r="I89" s="5">
        <f>D89*G89</f>
        <v>-1952.7178082191781</v>
      </c>
      <c r="J89" s="38"/>
      <c r="K89" s="54"/>
    </row>
    <row r="90" spans="1:11" ht="12.75">
      <c r="A90" s="43">
        <f t="shared" si="0"/>
        <v>25</v>
      </c>
      <c r="B90" s="40" t="s">
        <v>72</v>
      </c>
      <c r="C90" s="38" t="s">
        <v>431</v>
      </c>
      <c r="D90" s="5">
        <f>+'4- Rate Base'!H44</f>
        <v>97734</v>
      </c>
      <c r="E90" s="38"/>
      <c r="F90" s="38" t="s">
        <v>49</v>
      </c>
      <c r="G90" s="56">
        <f>+G89</f>
        <v>1</v>
      </c>
      <c r="H90" s="48"/>
      <c r="I90" s="5">
        <f>D90*G90</f>
        <v>97734</v>
      </c>
      <c r="J90" s="38"/>
      <c r="K90" s="54"/>
    </row>
    <row r="91" spans="1:11" ht="12.75">
      <c r="A91" s="43">
        <f t="shared" si="0"/>
        <v>26</v>
      </c>
      <c r="B91" s="36" t="s">
        <v>73</v>
      </c>
      <c r="C91" s="36" t="s">
        <v>432</v>
      </c>
      <c r="D91" s="5">
        <f>+'4- Rate Base'!I44</f>
        <v>0</v>
      </c>
      <c r="E91" s="38"/>
      <c r="F91" s="38" t="s">
        <v>74</v>
      </c>
      <c r="G91" s="56">
        <f>+G84</f>
        <v>0</v>
      </c>
      <c r="H91" s="48"/>
      <c r="I91" s="5">
        <f>D91*G91</f>
        <v>0</v>
      </c>
      <c r="J91" s="38"/>
      <c r="K91" s="54"/>
    </row>
    <row r="92" spans="1:11" ht="12.75">
      <c r="A92" s="43" t="s">
        <v>75</v>
      </c>
      <c r="B92" s="36" t="s">
        <v>76</v>
      </c>
      <c r="C92" s="36" t="s">
        <v>433</v>
      </c>
      <c r="D92" s="5">
        <f>+'4- Rate Base'!I59</f>
        <v>0</v>
      </c>
      <c r="E92" s="38"/>
      <c r="F92" s="38" t="s">
        <v>49</v>
      </c>
      <c r="G92" s="56">
        <f>G93</f>
        <v>1</v>
      </c>
      <c r="H92" s="48"/>
      <c r="I92" s="5">
        <f>+G92*D92</f>
        <v>0</v>
      </c>
      <c r="J92" s="38"/>
      <c r="K92" s="54"/>
    </row>
    <row r="93" spans="1:11" ht="12.75">
      <c r="A93" s="43">
        <f>+A91+1</f>
        <v>27</v>
      </c>
      <c r="B93" s="57" t="s">
        <v>78</v>
      </c>
      <c r="C93" s="58" t="s">
        <v>434</v>
      </c>
      <c r="D93" s="5">
        <f>'4- Rate Base'!E24</f>
        <v>0</v>
      </c>
      <c r="E93" s="58"/>
      <c r="F93" s="58" t="s">
        <v>49</v>
      </c>
      <c r="G93" s="56">
        <v>1</v>
      </c>
      <c r="H93" s="58"/>
      <c r="I93" s="5">
        <f>+G93*D93</f>
        <v>0</v>
      </c>
      <c r="K93" s="54"/>
    </row>
    <row r="94" spans="1:11" ht="12.75">
      <c r="A94" s="43">
        <f t="shared" si="0"/>
        <v>28</v>
      </c>
      <c r="B94" s="57" t="s">
        <v>79</v>
      </c>
      <c r="C94" s="58" t="s">
        <v>435</v>
      </c>
      <c r="D94" s="5">
        <f>+'4- Rate Base'!C44</f>
        <v>0</v>
      </c>
      <c r="E94" s="58"/>
      <c r="F94" s="58" t="s">
        <v>49</v>
      </c>
      <c r="G94" s="56">
        <v>1</v>
      </c>
      <c r="H94" s="58"/>
      <c r="I94" s="5">
        <f>+G94*D94</f>
        <v>0</v>
      </c>
      <c r="K94" s="54"/>
    </row>
    <row r="95" spans="1:11" ht="13.5" thickBot="1">
      <c r="A95" s="43">
        <f t="shared" si="0"/>
        <v>29</v>
      </c>
      <c r="B95" s="57" t="s">
        <v>80</v>
      </c>
      <c r="C95" s="58" t="s">
        <v>436</v>
      </c>
      <c r="D95" s="51">
        <f>+'4- Rate Base'!D44</f>
        <v>0</v>
      </c>
      <c r="E95" s="58"/>
      <c r="F95" s="58" t="s">
        <v>49</v>
      </c>
      <c r="G95" s="56">
        <v>1</v>
      </c>
      <c r="H95" s="58"/>
      <c r="I95" s="51">
        <f>+G95*D95</f>
        <v>0</v>
      </c>
      <c r="K95" s="54"/>
    </row>
    <row r="96" spans="1:11" ht="12.75">
      <c r="A96" s="43">
        <f t="shared" si="0"/>
        <v>30</v>
      </c>
      <c r="B96" s="40" t="s">
        <v>81</v>
      </c>
      <c r="C96" s="38" t="s">
        <v>82</v>
      </c>
      <c r="D96" s="5">
        <f>SUM(D87:D95)</f>
        <v>-416086.32432725426</v>
      </c>
      <c r="E96" s="38"/>
      <c r="F96" s="38"/>
      <c r="G96" s="48"/>
      <c r="H96" s="48"/>
      <c r="I96" s="5">
        <f>SUM(I87:I95)</f>
        <v>-416086.32432725426</v>
      </c>
      <c r="J96" s="38"/>
      <c r="K96" s="38"/>
    </row>
    <row r="97" spans="1:11" ht="12.75">
      <c r="A97" s="43"/>
      <c r="B97" s="36"/>
      <c r="C97" s="38"/>
      <c r="D97" s="5"/>
      <c r="E97" s="38"/>
      <c r="F97" s="38"/>
      <c r="G97" s="54"/>
      <c r="H97" s="38"/>
      <c r="I97" s="5"/>
      <c r="J97" s="38"/>
      <c r="K97" s="54"/>
    </row>
    <row r="98" spans="1:11" ht="12.75">
      <c r="A98" s="43">
        <f>+A96+1</f>
        <v>31</v>
      </c>
      <c r="B98" s="52" t="s">
        <v>437</v>
      </c>
      <c r="C98" s="74" t="s">
        <v>438</v>
      </c>
      <c r="D98" s="5">
        <f>+'4- Rate Base'!F24</f>
        <v>0</v>
      </c>
      <c r="E98" s="38"/>
      <c r="F98" s="38" t="s">
        <v>402</v>
      </c>
      <c r="G98" s="25">
        <f>+G72</f>
        <v>0</v>
      </c>
      <c r="H98" s="48"/>
      <c r="I98" s="5">
        <f>+G98*D98</f>
        <v>0</v>
      </c>
      <c r="J98" s="38"/>
      <c r="K98" s="38"/>
    </row>
    <row r="99" spans="1:11" ht="12.75">
      <c r="A99" s="43"/>
      <c r="B99" s="40"/>
      <c r="C99" s="38"/>
      <c r="D99" s="5"/>
      <c r="E99" s="38"/>
      <c r="F99" s="38"/>
      <c r="G99" s="25"/>
      <c r="H99" s="48"/>
      <c r="I99" s="5"/>
      <c r="J99" s="38"/>
      <c r="K99" s="38"/>
    </row>
    <row r="100" spans="1:11" ht="12.75">
      <c r="A100" s="43">
        <f>+A98+1</f>
        <v>32</v>
      </c>
      <c r="B100" s="40" t="s">
        <v>85</v>
      </c>
      <c r="C100" s="38" t="s">
        <v>371</v>
      </c>
      <c r="D100" s="5"/>
      <c r="E100" s="38"/>
      <c r="F100" s="38"/>
      <c r="G100" s="25"/>
      <c r="H100" s="48"/>
      <c r="I100" s="5"/>
      <c r="J100" s="38"/>
      <c r="K100" s="38"/>
    </row>
    <row r="101" spans="1:11" ht="12.75">
      <c r="A101" s="43">
        <f t="shared" si="0"/>
        <v>33</v>
      </c>
      <c r="B101" s="40" t="s">
        <v>86</v>
      </c>
      <c r="C101" s="36" t="s">
        <v>439</v>
      </c>
      <c r="D101" s="5">
        <f>(D134-D131)/8</f>
        <v>142159.54399835196</v>
      </c>
      <c r="E101" s="38"/>
      <c r="F101" s="38"/>
      <c r="G101" s="25"/>
      <c r="H101" s="48"/>
      <c r="I101" s="5">
        <f>(I134-I131)/8</f>
        <v>0</v>
      </c>
      <c r="J101" s="40"/>
      <c r="K101" s="54"/>
    </row>
    <row r="102" spans="1:11" ht="12.75">
      <c r="A102" s="43">
        <f t="shared" si="0"/>
        <v>34</v>
      </c>
      <c r="B102" s="40" t="s">
        <v>196</v>
      </c>
      <c r="C102" s="74" t="s">
        <v>440</v>
      </c>
      <c r="D102" s="5">
        <f>+'4- Rate Base'!G24</f>
        <v>31986.685807405967</v>
      </c>
      <c r="E102" s="38"/>
      <c r="F102" s="38" t="s">
        <v>402</v>
      </c>
      <c r="G102" s="25">
        <f>+G119</f>
        <v>0</v>
      </c>
      <c r="H102" s="48"/>
      <c r="I102" s="5">
        <f>+G102*D102</f>
        <v>0</v>
      </c>
      <c r="J102" s="38" t="s">
        <v>30</v>
      </c>
      <c r="K102" s="54"/>
    </row>
    <row r="103" spans="1:11" ht="13.5" thickBot="1">
      <c r="A103" s="43">
        <f t="shared" si="0"/>
        <v>35</v>
      </c>
      <c r="B103" s="40" t="s">
        <v>90</v>
      </c>
      <c r="C103" s="48" t="s">
        <v>441</v>
      </c>
      <c r="D103" s="51">
        <f>+'4- Rate Base'!H24</f>
        <v>23290.381976275585</v>
      </c>
      <c r="E103" s="38"/>
      <c r="F103" s="38" t="s">
        <v>91</v>
      </c>
      <c r="G103" s="25">
        <f>+G68</f>
        <v>0</v>
      </c>
      <c r="H103" s="48"/>
      <c r="I103" s="51">
        <f>+G103*D103</f>
        <v>0</v>
      </c>
      <c r="J103" s="38"/>
      <c r="K103" s="54"/>
    </row>
    <row r="104" spans="1:11" ht="12.75">
      <c r="A104" s="43">
        <f t="shared" si="0"/>
        <v>36</v>
      </c>
      <c r="B104" s="40" t="s">
        <v>92</v>
      </c>
      <c r="C104" s="40" t="s">
        <v>93</v>
      </c>
      <c r="D104" s="5">
        <f>SUM(D101:D103)</f>
        <v>197436.61178203352</v>
      </c>
      <c r="E104" s="40"/>
      <c r="F104" s="40"/>
      <c r="G104" s="62"/>
      <c r="H104" s="62"/>
      <c r="I104" s="5">
        <f>I101+I102+I103</f>
        <v>0</v>
      </c>
      <c r="J104" s="40"/>
      <c r="K104" s="40"/>
    </row>
    <row r="105" spans="1:11" ht="13.5" thickBot="1">
      <c r="A105" s="43"/>
      <c r="B105" s="36"/>
      <c r="C105" s="38"/>
      <c r="D105" s="51"/>
      <c r="E105" s="38"/>
      <c r="F105" s="38"/>
      <c r="G105" s="38"/>
      <c r="H105" s="38"/>
      <c r="I105" s="51"/>
      <c r="J105" s="38"/>
      <c r="K105" s="38"/>
    </row>
    <row r="106" spans="1:11" ht="13.5" thickBot="1">
      <c r="A106" s="43">
        <f>+A104+1</f>
        <v>37</v>
      </c>
      <c r="B106" s="40" t="s">
        <v>94</v>
      </c>
      <c r="C106" s="38" t="s">
        <v>95</v>
      </c>
      <c r="D106" s="63">
        <f>+D104+D98+D96+D84</f>
        <v>9720071.9700602964</v>
      </c>
      <c r="E106" s="48"/>
      <c r="F106" s="48"/>
      <c r="G106" s="64"/>
      <c r="H106" s="48"/>
      <c r="I106" s="63">
        <f>+I104+I98+I96+I84</f>
        <v>-416086.32432725426</v>
      </c>
      <c r="J106" s="38"/>
      <c r="K106" s="54"/>
    </row>
    <row r="107" spans="1:11" ht="13.5" thickTop="1">
      <c r="A107" s="43"/>
      <c r="B107" s="40"/>
      <c r="C107" s="38"/>
      <c r="D107" s="48"/>
      <c r="E107" s="48"/>
      <c r="F107" s="48"/>
      <c r="G107" s="64"/>
      <c r="H107" s="48"/>
      <c r="I107" s="48"/>
      <c r="J107" s="38"/>
      <c r="K107" s="54"/>
    </row>
    <row r="108" spans="1:11" ht="12.75">
      <c r="A108" s="43"/>
      <c r="B108" s="40"/>
      <c r="C108" s="38"/>
      <c r="D108" s="48"/>
      <c r="E108" s="48"/>
      <c r="F108" s="48"/>
      <c r="G108" s="64"/>
      <c r="H108" s="48"/>
      <c r="I108" s="48"/>
      <c r="J108" s="38"/>
      <c r="K108" s="54"/>
    </row>
    <row r="109" spans="1:11" ht="12.75">
      <c r="A109" s="43"/>
      <c r="B109" s="40"/>
      <c r="C109" s="38"/>
      <c r="D109" s="38"/>
      <c r="E109" s="38"/>
      <c r="F109" s="38"/>
      <c r="G109" s="38"/>
      <c r="H109" s="38"/>
      <c r="I109" s="38"/>
      <c r="J109" s="38"/>
      <c r="K109" s="65" t="s">
        <v>442</v>
      </c>
    </row>
    <row r="110" spans="1:11" ht="12.75">
      <c r="A110" s="43"/>
      <c r="B110" s="40"/>
      <c r="C110" s="38"/>
      <c r="D110" s="38"/>
      <c r="E110" s="38"/>
      <c r="F110" s="38"/>
      <c r="G110" s="38"/>
      <c r="H110" s="38"/>
      <c r="I110" s="38"/>
      <c r="J110" s="38"/>
      <c r="K110" s="65"/>
    </row>
    <row r="111" spans="1:11" ht="12.75">
      <c r="A111" s="43"/>
      <c r="B111" s="40" t="s">
        <v>97</v>
      </c>
      <c r="C111" s="38"/>
      <c r="D111" s="66" t="s">
        <v>394</v>
      </c>
      <c r="E111" s="38"/>
      <c r="F111" s="38"/>
      <c r="G111" s="38"/>
      <c r="H111" s="38"/>
      <c r="I111" s="62"/>
      <c r="J111" s="38"/>
      <c r="K111" s="65" t="str">
        <f>K3</f>
        <v>For the 12 months ended 12/31/2021</v>
      </c>
    </row>
    <row r="112" spans="1:11" ht="12.75">
      <c r="A112" s="43"/>
      <c r="B112" s="40"/>
      <c r="C112" s="38"/>
      <c r="D112" s="66" t="s">
        <v>395</v>
      </c>
      <c r="E112" s="38"/>
      <c r="F112" s="38"/>
      <c r="G112" s="38"/>
      <c r="H112" s="38"/>
      <c r="I112" s="38"/>
      <c r="J112" s="38"/>
      <c r="K112" s="38"/>
    </row>
    <row r="113" spans="1:11" ht="12.75">
      <c r="A113" s="43"/>
      <c r="B113" s="36"/>
      <c r="C113" s="38"/>
      <c r="D113" s="66" t="str">
        <f>+D56</f>
        <v>GridLiance High Plains LLC</v>
      </c>
      <c r="E113" s="38"/>
      <c r="F113" s="38"/>
      <c r="G113" s="38"/>
      <c r="H113" s="38"/>
      <c r="I113" s="38"/>
      <c r="J113" s="38"/>
      <c r="K113" s="38"/>
    </row>
    <row r="114" spans="1:11" ht="12.75">
      <c r="A114" s="1036"/>
      <c r="B114" s="1036"/>
      <c r="C114" s="1036"/>
      <c r="D114" s="1036"/>
      <c r="E114" s="1036"/>
      <c r="F114" s="1036"/>
      <c r="G114" s="1036"/>
      <c r="H114" s="1036"/>
      <c r="I114" s="1036"/>
      <c r="J114" s="1036"/>
      <c r="K114" s="1036"/>
    </row>
    <row r="115" spans="1:11" ht="12.75">
      <c r="A115" s="43"/>
      <c r="B115" s="37" t="s">
        <v>27</v>
      </c>
      <c r="C115" s="37" t="s">
        <v>28</v>
      </c>
      <c r="D115" s="37" t="s">
        <v>29</v>
      </c>
      <c r="E115" s="38" t="s">
        <v>30</v>
      </c>
      <c r="F115" s="38"/>
      <c r="G115" s="39" t="s">
        <v>31</v>
      </c>
      <c r="H115" s="38"/>
      <c r="I115" s="39" t="s">
        <v>32</v>
      </c>
      <c r="J115" s="38"/>
      <c r="K115" s="38"/>
    </row>
    <row r="116" spans="1:11" ht="12.75">
      <c r="A116" s="43" t="s">
        <v>35</v>
      </c>
      <c r="B116" s="40"/>
      <c r="C116" s="41"/>
      <c r="D116" s="38"/>
      <c r="E116" s="38"/>
      <c r="F116" s="38"/>
      <c r="G116" s="43"/>
      <c r="H116" s="38"/>
      <c r="I116" s="42" t="s">
        <v>314</v>
      </c>
      <c r="J116" s="38"/>
      <c r="K116" s="42"/>
    </row>
    <row r="117" spans="1:11" ht="13.5" thickBot="1">
      <c r="A117" s="46" t="s">
        <v>40</v>
      </c>
      <c r="B117" s="40"/>
      <c r="C117" s="44" t="s">
        <v>36</v>
      </c>
      <c r="D117" s="42" t="s">
        <v>37</v>
      </c>
      <c r="E117" s="45"/>
      <c r="F117" s="42" t="s">
        <v>33</v>
      </c>
      <c r="G117" s="36"/>
      <c r="H117" s="45"/>
      <c r="I117" s="43" t="s">
        <v>39</v>
      </c>
      <c r="J117" s="38"/>
      <c r="K117" s="42"/>
    </row>
    <row r="118" spans="1:11" ht="12.75">
      <c r="A118" s="43"/>
      <c r="B118" s="40" t="s">
        <v>98</v>
      </c>
      <c r="C118" s="38"/>
      <c r="D118" s="38"/>
      <c r="E118" s="38"/>
      <c r="F118" s="38"/>
      <c r="G118" s="38"/>
      <c r="H118" s="38"/>
      <c r="I118" s="38"/>
      <c r="J118" s="38"/>
      <c r="K118" s="38"/>
    </row>
    <row r="119" spans="1:11" ht="12.75">
      <c r="A119" s="43">
        <v>1</v>
      </c>
      <c r="B119" s="40" t="s">
        <v>443</v>
      </c>
      <c r="C119" s="38" t="s">
        <v>444</v>
      </c>
      <c r="D119" s="5">
        <f>'5-P3 Support'!C24</f>
        <v>311660.52209576289</v>
      </c>
      <c r="E119" s="38"/>
      <c r="F119" s="38" t="s">
        <v>402</v>
      </c>
      <c r="G119" s="25">
        <f>+I189</f>
        <v>0</v>
      </c>
      <c r="H119" s="48"/>
      <c r="I119" s="5">
        <f t="shared" si="1" ref="I119:I129">+G119*D119</f>
        <v>0</v>
      </c>
      <c r="J119" s="40"/>
      <c r="K119" s="38"/>
    </row>
    <row r="120" spans="1:11" ht="12.75">
      <c r="A120" s="69">
        <f>+A119+1</f>
        <v>2</v>
      </c>
      <c r="B120" s="57" t="s">
        <v>445</v>
      </c>
      <c r="C120" s="38" t="s">
        <v>446</v>
      </c>
      <c r="D120" s="5">
        <f>'5-P3 Support'!D24</f>
        <v>0</v>
      </c>
      <c r="E120" s="58"/>
      <c r="F120" s="58" t="str">
        <f>+F119</f>
        <v>TP</v>
      </c>
      <c r="G120" s="25">
        <f>+G119</f>
        <v>0</v>
      </c>
      <c r="H120" s="58"/>
      <c r="I120" s="5">
        <f>+G120*D120</f>
        <v>0</v>
      </c>
      <c r="K120" s="38"/>
    </row>
    <row r="121" spans="1:11" ht="12.75">
      <c r="A121" s="69">
        <f t="shared" si="2" ref="A121:A165">+A120+1</f>
        <v>3</v>
      </c>
      <c r="B121" s="40" t="s">
        <v>447</v>
      </c>
      <c r="C121" s="38" t="s">
        <v>448</v>
      </c>
      <c r="D121" s="5">
        <f>'5-P3 Support'!E24</f>
        <v>0</v>
      </c>
      <c r="E121" s="38"/>
      <c r="F121" s="38" t="str">
        <f>+F120</f>
        <v>TP</v>
      </c>
      <c r="G121" s="25">
        <f>+G120</f>
        <v>0</v>
      </c>
      <c r="H121" s="48"/>
      <c r="I121" s="5">
        <f t="shared" si="1"/>
        <v>0</v>
      </c>
      <c r="J121" s="40"/>
      <c r="K121" s="38"/>
    </row>
    <row r="122" spans="1:11" ht="12.75">
      <c r="A122" s="69">
        <f t="shared" si="2"/>
        <v>4</v>
      </c>
      <c r="B122" s="40" t="s">
        <v>101</v>
      </c>
      <c r="C122" s="38" t="s">
        <v>449</v>
      </c>
      <c r="D122" s="5">
        <f>'5-P3 Support'!F24</f>
        <v>825615.82989105291</v>
      </c>
      <c r="E122" s="38"/>
      <c r="F122" s="38" t="s">
        <v>51</v>
      </c>
      <c r="G122" s="25">
        <f>+G74</f>
        <v>0</v>
      </c>
      <c r="H122" s="48"/>
      <c r="I122" s="5">
        <f t="shared" si="1"/>
        <v>0</v>
      </c>
      <c r="J122" s="38"/>
      <c r="K122" s="38" t="s">
        <v>30</v>
      </c>
    </row>
    <row r="123" spans="1:11" ht="12.75">
      <c r="A123" s="69">
        <f t="shared" si="2"/>
        <v>5</v>
      </c>
      <c r="B123" s="40" t="s">
        <v>102</v>
      </c>
      <c r="C123" s="38" t="s">
        <v>450</v>
      </c>
      <c r="D123" s="5">
        <f>'5-P3 Support'!G24</f>
        <v>0</v>
      </c>
      <c r="E123" s="38"/>
      <c r="F123" s="38" t="s">
        <v>51</v>
      </c>
      <c r="G123" s="25">
        <f>+G122</f>
        <v>0</v>
      </c>
      <c r="H123" s="48"/>
      <c r="I123" s="5">
        <f t="shared" si="1"/>
        <v>0</v>
      </c>
      <c r="J123" s="38"/>
      <c r="K123" s="38"/>
    </row>
    <row r="124" spans="1:11" ht="12.75">
      <c r="A124" s="69">
        <f t="shared" si="2"/>
        <v>6</v>
      </c>
      <c r="B124" s="40" t="s">
        <v>103</v>
      </c>
      <c r="C124" s="38" t="s">
        <v>451</v>
      </c>
      <c r="D124" s="5">
        <f>'5-P3 Support'!H24</f>
        <v>0</v>
      </c>
      <c r="E124" s="38"/>
      <c r="F124" s="38" t="s">
        <v>51</v>
      </c>
      <c r="G124" s="25">
        <f>+G123</f>
        <v>0</v>
      </c>
      <c r="H124" s="48"/>
      <c r="I124" s="5">
        <f t="shared" si="1"/>
        <v>0</v>
      </c>
      <c r="J124" s="38"/>
      <c r="K124" s="38"/>
    </row>
    <row r="125" spans="1:11" s="73" customFormat="1" ht="12.75">
      <c r="A125" s="69" t="s">
        <v>452</v>
      </c>
      <c r="B125" s="40" t="s">
        <v>104</v>
      </c>
      <c r="C125" s="38" t="s">
        <v>453</v>
      </c>
      <c r="D125" s="76">
        <f>+'7 - PBOP'!I16</f>
        <v>0</v>
      </c>
      <c r="E125" s="70"/>
      <c r="F125" s="38" t="s">
        <v>51</v>
      </c>
      <c r="G125" s="25">
        <f>+G124</f>
        <v>0</v>
      </c>
      <c r="H125" s="48"/>
      <c r="I125" s="5">
        <f>+G125*D125</f>
        <v>0</v>
      </c>
      <c r="J125" s="70"/>
      <c r="K125" s="70"/>
    </row>
    <row r="126" spans="1:11" ht="12.75">
      <c r="A126" s="69">
        <f>+A124+1</f>
        <v>7</v>
      </c>
      <c r="B126" s="40" t="s">
        <v>454</v>
      </c>
      <c r="C126" s="38" t="s">
        <v>455</v>
      </c>
      <c r="D126" s="5">
        <f>'5-P3 Support'!I24</f>
        <v>0</v>
      </c>
      <c r="E126" s="38"/>
      <c r="F126" s="292" t="s">
        <v>402</v>
      </c>
      <c r="G126" s="25">
        <f>+G119</f>
        <v>0</v>
      </c>
      <c r="H126" s="48"/>
      <c r="I126" s="5">
        <f t="shared" si="1"/>
        <v>0</v>
      </c>
      <c r="J126" s="38"/>
      <c r="K126" s="38"/>
    </row>
    <row r="127" spans="1:11" s="73" customFormat="1" ht="12.75">
      <c r="A127" s="69" t="s">
        <v>456</v>
      </c>
      <c r="B127" s="40" t="s">
        <v>105</v>
      </c>
      <c r="C127" s="38" t="s">
        <v>457</v>
      </c>
      <c r="D127" s="76">
        <f>+'7 - PBOP'!I13</f>
        <v>0</v>
      </c>
      <c r="E127" s="70"/>
      <c r="F127" s="38" t="s">
        <v>51</v>
      </c>
      <c r="G127" s="25">
        <f>+G125</f>
        <v>0</v>
      </c>
      <c r="H127" s="48"/>
      <c r="I127" s="5">
        <f>+G127*D127</f>
        <v>0</v>
      </c>
      <c r="J127" s="70"/>
      <c r="K127" s="70"/>
    </row>
    <row r="128" spans="1:11" ht="12.75">
      <c r="A128" s="69">
        <f>+A126+1</f>
        <v>8</v>
      </c>
      <c r="B128" s="40" t="s">
        <v>52</v>
      </c>
      <c r="C128" s="38" t="s">
        <v>458</v>
      </c>
      <c r="D128" s="60">
        <v>0</v>
      </c>
      <c r="E128" s="38"/>
      <c r="F128" s="38" t="s">
        <v>53</v>
      </c>
      <c r="G128" s="25">
        <f>+G75</f>
        <v>0</v>
      </c>
      <c r="H128" s="48"/>
      <c r="I128" s="5">
        <f t="shared" si="1"/>
        <v>0</v>
      </c>
      <c r="J128" s="38"/>
      <c r="K128" s="38"/>
    </row>
    <row r="129" spans="1:11" ht="12.75">
      <c r="A129" s="69">
        <f t="shared" si="2"/>
        <v>9</v>
      </c>
      <c r="B129" s="40" t="s">
        <v>459</v>
      </c>
      <c r="C129" s="38" t="s">
        <v>460</v>
      </c>
      <c r="D129" s="5">
        <f>'5-P3 Support'!J24</f>
        <v>0</v>
      </c>
      <c r="E129" s="38"/>
      <c r="F129" s="38" t="str">
        <f>+F131</f>
        <v>DA</v>
      </c>
      <c r="G129" s="293">
        <v>1</v>
      </c>
      <c r="H129" s="48"/>
      <c r="I129" s="5">
        <f t="shared" si="1"/>
        <v>0</v>
      </c>
      <c r="J129" s="38"/>
      <c r="K129" s="38"/>
    </row>
    <row r="130" spans="1:11" ht="12.75">
      <c r="A130" s="69">
        <f t="shared" si="2"/>
        <v>10</v>
      </c>
      <c r="B130" s="57" t="s">
        <v>461</v>
      </c>
      <c r="C130" s="58"/>
      <c r="D130" s="5"/>
      <c r="E130" s="58"/>
      <c r="F130" s="58"/>
      <c r="G130" s="293"/>
      <c r="H130" s="58"/>
      <c r="I130" s="5"/>
      <c r="K130" s="38"/>
    </row>
    <row r="131" spans="1:11" ht="12.75">
      <c r="A131" s="69">
        <f t="shared" si="2"/>
        <v>11</v>
      </c>
      <c r="B131" s="57" t="s">
        <v>462</v>
      </c>
      <c r="C131" s="58" t="s">
        <v>463</v>
      </c>
      <c r="D131" s="5">
        <f>'5-P3 Support'!K24</f>
        <v>0</v>
      </c>
      <c r="E131" s="58"/>
      <c r="F131" s="58" t="s">
        <v>49</v>
      </c>
      <c r="G131" s="293">
        <v>1</v>
      </c>
      <c r="H131" s="58"/>
      <c r="I131" s="5">
        <f>+G131*D131</f>
        <v>0</v>
      </c>
      <c r="K131" s="38"/>
    </row>
    <row r="132" spans="1:11" ht="12.75">
      <c r="A132" s="69">
        <f t="shared" si="2"/>
        <v>12</v>
      </c>
      <c r="B132" s="57" t="s">
        <v>464</v>
      </c>
      <c r="C132" s="38" t="s">
        <v>465</v>
      </c>
      <c r="D132" s="5">
        <f>'5-P3 Support'!L24</f>
        <v>0</v>
      </c>
      <c r="E132" s="58"/>
      <c r="F132" s="58" t="s">
        <v>402</v>
      </c>
      <c r="G132" s="293">
        <f>+G119</f>
        <v>0</v>
      </c>
      <c r="H132" s="58"/>
      <c r="I132" s="5">
        <f>+G132*D132</f>
        <v>0</v>
      </c>
      <c r="K132" s="38"/>
    </row>
    <row r="133" spans="1:11" ht="13.5" thickBot="1">
      <c r="A133" s="69">
        <f t="shared" si="2"/>
        <v>13</v>
      </c>
      <c r="B133" s="57" t="s">
        <v>466</v>
      </c>
      <c r="C133" s="58" t="s">
        <v>467</v>
      </c>
      <c r="D133" s="51">
        <f>SUM(D131:D132)</f>
        <v>0</v>
      </c>
      <c r="E133" s="58"/>
      <c r="F133" s="58"/>
      <c r="G133" s="293"/>
      <c r="H133" s="58"/>
      <c r="I133" s="51">
        <f>SUM(I131:I132)</f>
        <v>0</v>
      </c>
      <c r="K133" s="38"/>
    </row>
    <row r="134" spans="1:11" ht="12.75">
      <c r="A134" s="69">
        <f t="shared" si="2"/>
        <v>14</v>
      </c>
      <c r="B134" s="71" t="s">
        <v>106</v>
      </c>
      <c r="C134" s="72" t="s">
        <v>468</v>
      </c>
      <c r="D134" s="5">
        <f>+D119-D121-D120+D122-D123-D124-D125+D126+D127+D128+D129+D133</f>
        <v>1137276.3519868157</v>
      </c>
      <c r="E134" s="5"/>
      <c r="F134" s="5"/>
      <c r="G134" s="5"/>
      <c r="H134" s="5"/>
      <c r="I134" s="5">
        <f>+I119-I121-I120+I122-I123-I124-I125+I126+I127+I128+I129+I133</f>
        <v>0</v>
      </c>
      <c r="J134" s="38"/>
      <c r="K134" s="38"/>
    </row>
    <row r="135" spans="1:11" ht="12.75">
      <c r="A135" s="69"/>
      <c r="B135" s="36"/>
      <c r="C135" s="38"/>
      <c r="D135" s="5"/>
      <c r="E135" s="5"/>
      <c r="F135" s="5"/>
      <c r="G135" s="5"/>
      <c r="H135" s="5"/>
      <c r="I135" s="5"/>
      <c r="J135" s="38"/>
      <c r="K135" s="38"/>
    </row>
    <row r="136" spans="1:11" ht="12.75">
      <c r="A136" s="69">
        <f>+A134+1</f>
        <v>15</v>
      </c>
      <c r="B136" s="40" t="s">
        <v>469</v>
      </c>
      <c r="C136" s="38"/>
      <c r="D136" s="5"/>
      <c r="E136" s="5"/>
      <c r="F136" s="5"/>
      <c r="G136" s="5"/>
      <c r="H136" s="5"/>
      <c r="I136" s="5"/>
      <c r="J136" s="38"/>
      <c r="K136" s="38"/>
    </row>
    <row r="137" spans="1:11" ht="12.75">
      <c r="A137" s="69">
        <f t="shared" si="2"/>
        <v>16</v>
      </c>
      <c r="B137" s="40" t="s">
        <v>443</v>
      </c>
      <c r="C137" s="74" t="s">
        <v>470</v>
      </c>
      <c r="D137" s="5">
        <f>'5-P3 Support'!M24</f>
        <v>0</v>
      </c>
      <c r="E137" s="5"/>
      <c r="F137" s="5" t="s">
        <v>402</v>
      </c>
      <c r="G137" s="5">
        <f>+G98</f>
        <v>0</v>
      </c>
      <c r="H137" s="5"/>
      <c r="I137" s="5">
        <f>+G137*D137</f>
        <v>0</v>
      </c>
      <c r="J137" s="38"/>
      <c r="K137" s="54"/>
    </row>
    <row r="138" spans="1:11" ht="12.75">
      <c r="A138" s="69">
        <f t="shared" si="2"/>
        <v>17</v>
      </c>
      <c r="B138" s="75" t="s">
        <v>50</v>
      </c>
      <c r="C138" s="74" t="s">
        <v>471</v>
      </c>
      <c r="D138" s="5">
        <f>'5-P3 Support'!C45</f>
        <v>0</v>
      </c>
      <c r="E138" s="5"/>
      <c r="F138" s="5" t="s">
        <v>51</v>
      </c>
      <c r="G138" s="5">
        <f>+G122</f>
        <v>0</v>
      </c>
      <c r="H138" s="5"/>
      <c r="I138" s="5">
        <f>+G138*D138</f>
        <v>0</v>
      </c>
      <c r="J138" s="38"/>
      <c r="K138" s="54"/>
    </row>
    <row r="139" spans="1:11" ht="12.75">
      <c r="A139" s="69">
        <f t="shared" si="2"/>
        <v>18</v>
      </c>
      <c r="B139" s="40" t="s">
        <v>52</v>
      </c>
      <c r="C139" s="74" t="s">
        <v>472</v>
      </c>
      <c r="D139" s="59">
        <v>0</v>
      </c>
      <c r="E139" s="5"/>
      <c r="F139" s="5" t="s">
        <v>53</v>
      </c>
      <c r="G139" s="5">
        <f>+G128</f>
        <v>0</v>
      </c>
      <c r="H139" s="5"/>
      <c r="I139" s="5">
        <f>+G139*D139</f>
        <v>0</v>
      </c>
      <c r="J139" s="38"/>
      <c r="K139" s="54"/>
    </row>
    <row r="140" spans="1:11" ht="13.5" thickBot="1">
      <c r="A140" s="69">
        <f t="shared" si="2"/>
        <v>19</v>
      </c>
      <c r="B140" s="57" t="s">
        <v>473</v>
      </c>
      <c r="C140" s="38" t="s">
        <v>474</v>
      </c>
      <c r="D140" s="51">
        <f>'5-P3 Support'!D45</f>
        <v>0</v>
      </c>
      <c r="E140" s="5"/>
      <c r="F140" s="5" t="s">
        <v>49</v>
      </c>
      <c r="G140" s="293">
        <v>1</v>
      </c>
      <c r="H140" s="5"/>
      <c r="I140" s="51">
        <f>+G140*D140</f>
        <v>0</v>
      </c>
      <c r="J140" s="38"/>
      <c r="K140" s="54"/>
    </row>
    <row r="141" spans="1:11" ht="12.75">
      <c r="A141" s="69">
        <f t="shared" si="2"/>
        <v>20</v>
      </c>
      <c r="B141" s="40" t="s">
        <v>111</v>
      </c>
      <c r="C141" s="38" t="s">
        <v>475</v>
      </c>
      <c r="D141" s="5">
        <f>SUM(D137:D140)</f>
        <v>0</v>
      </c>
      <c r="E141" s="5"/>
      <c r="F141" s="5"/>
      <c r="G141" s="5"/>
      <c r="H141" s="5"/>
      <c r="I141" s="5">
        <f>SUM(I137:I140)</f>
        <v>0</v>
      </c>
      <c r="J141" s="38"/>
      <c r="K141" s="38"/>
    </row>
    <row r="142" spans="1:11" ht="12.75">
      <c r="A142" s="69"/>
      <c r="B142" s="40"/>
      <c r="C142" s="38"/>
      <c r="D142" s="5"/>
      <c r="E142" s="5"/>
      <c r="F142" s="5"/>
      <c r="G142" s="5"/>
      <c r="H142" s="5"/>
      <c r="I142" s="5"/>
      <c r="J142" s="38"/>
      <c r="K142" s="38"/>
    </row>
    <row r="143" spans="1:11" ht="12.75">
      <c r="A143" s="69">
        <f>+A141+1</f>
        <v>21</v>
      </c>
      <c r="B143" s="40" t="s">
        <v>113</v>
      </c>
      <c r="C143" s="36" t="s">
        <v>476</v>
      </c>
      <c r="D143" s="5"/>
      <c r="E143" s="5"/>
      <c r="F143" s="5"/>
      <c r="G143" s="5"/>
      <c r="H143" s="5"/>
      <c r="I143" s="5"/>
      <c r="J143" s="38"/>
      <c r="K143" s="38"/>
    </row>
    <row r="144" spans="1:11" ht="12.75">
      <c r="A144" s="69">
        <f t="shared" si="2"/>
        <v>22</v>
      </c>
      <c r="B144" s="40" t="s">
        <v>114</v>
      </c>
      <c r="C144" s="36"/>
      <c r="D144" s="5"/>
      <c r="E144" s="5"/>
      <c r="F144" s="5"/>
      <c r="G144" s="5"/>
      <c r="H144" s="5"/>
      <c r="I144" s="5"/>
      <c r="J144" s="38"/>
      <c r="K144" s="54"/>
    </row>
    <row r="145" spans="1:11" ht="12.75">
      <c r="A145" s="69">
        <f t="shared" si="2"/>
        <v>23</v>
      </c>
      <c r="B145" s="40" t="s">
        <v>115</v>
      </c>
      <c r="C145" s="38" t="s">
        <v>477</v>
      </c>
      <c r="D145" s="5">
        <f>'5-P3 Support'!E45</f>
        <v>0</v>
      </c>
      <c r="E145" s="5"/>
      <c r="F145" s="5" t="s">
        <v>51</v>
      </c>
      <c r="G145" s="5">
        <f>+G138</f>
        <v>0</v>
      </c>
      <c r="H145" s="5"/>
      <c r="I145" s="5">
        <f>+G145*D145</f>
        <v>0</v>
      </c>
      <c r="J145" s="38"/>
      <c r="K145" s="54"/>
    </row>
    <row r="146" spans="1:11" ht="12.75">
      <c r="A146" s="69">
        <f t="shared" si="2"/>
        <v>24</v>
      </c>
      <c r="B146" s="40" t="s">
        <v>116</v>
      </c>
      <c r="C146" s="38" t="s">
        <v>478</v>
      </c>
      <c r="D146" s="5">
        <f>'5-P3 Support'!F45</f>
        <v>0</v>
      </c>
      <c r="E146" s="5"/>
      <c r="F146" s="5" t="s">
        <v>51</v>
      </c>
      <c r="G146" s="5">
        <f>+G145</f>
        <v>0</v>
      </c>
      <c r="H146" s="5"/>
      <c r="I146" s="5">
        <f>+G146*D146</f>
        <v>0</v>
      </c>
      <c r="J146" s="38"/>
      <c r="K146" s="54"/>
    </row>
    <row r="147" spans="1:11" ht="12.75">
      <c r="A147" s="69">
        <f t="shared" si="2"/>
        <v>25</v>
      </c>
      <c r="B147" s="40" t="s">
        <v>117</v>
      </c>
      <c r="C147" s="38" t="s">
        <v>30</v>
      </c>
      <c r="D147" s="5"/>
      <c r="E147" s="5"/>
      <c r="F147" s="5"/>
      <c r="G147" s="5"/>
      <c r="H147" s="5"/>
      <c r="I147" s="5"/>
      <c r="J147" s="38"/>
      <c r="K147" s="54"/>
    </row>
    <row r="148" spans="1:11" ht="12.75">
      <c r="A148" s="69">
        <f t="shared" si="2"/>
        <v>26</v>
      </c>
      <c r="B148" s="40" t="s">
        <v>118</v>
      </c>
      <c r="C148" s="38" t="s">
        <v>479</v>
      </c>
      <c r="D148" s="5">
        <f>'5-P3 Support'!G45</f>
        <v>158989.5937662675</v>
      </c>
      <c r="E148" s="5"/>
      <c r="F148" s="5" t="s">
        <v>91</v>
      </c>
      <c r="G148" s="5">
        <f>+G68</f>
        <v>0</v>
      </c>
      <c r="H148" s="5"/>
      <c r="I148" s="5">
        <f>+G148*D148</f>
        <v>0</v>
      </c>
      <c r="J148" s="38"/>
      <c r="K148" s="54"/>
    </row>
    <row r="149" spans="1:11" ht="12.75">
      <c r="A149" s="69">
        <f t="shared" si="2"/>
        <v>27</v>
      </c>
      <c r="B149" s="40" t="s">
        <v>119</v>
      </c>
      <c r="C149" s="38" t="s">
        <v>480</v>
      </c>
      <c r="D149" s="5">
        <f>'5-P3 Support'!H45</f>
        <v>0</v>
      </c>
      <c r="E149" s="5"/>
      <c r="F149" s="5" t="s">
        <v>45</v>
      </c>
      <c r="G149" s="76" t="s">
        <v>69</v>
      </c>
      <c r="H149" s="5"/>
      <c r="I149" s="5">
        <v>0</v>
      </c>
      <c r="J149" s="38"/>
      <c r="K149" s="54"/>
    </row>
    <row r="150" spans="1:11" ht="12.75">
      <c r="A150" s="69">
        <f t="shared" si="2"/>
        <v>28</v>
      </c>
      <c r="B150" s="40" t="s">
        <v>120</v>
      </c>
      <c r="C150" s="38" t="s">
        <v>481</v>
      </c>
      <c r="D150" s="5">
        <f>'5-P3 Support'!I45</f>
        <v>0</v>
      </c>
      <c r="E150" s="5"/>
      <c r="F150" s="5" t="s">
        <v>91</v>
      </c>
      <c r="G150" s="5">
        <f>+G148</f>
        <v>0</v>
      </c>
      <c r="H150" s="5"/>
      <c r="I150" s="5">
        <f>+G150*D150</f>
        <v>0</v>
      </c>
      <c r="J150" s="38"/>
      <c r="K150" s="54"/>
    </row>
    <row r="151" spans="1:11" ht="13.5" thickBot="1">
      <c r="A151" s="69">
        <f t="shared" si="2"/>
        <v>29</v>
      </c>
      <c r="B151" s="40" t="s">
        <v>121</v>
      </c>
      <c r="C151" s="38" t="s">
        <v>482</v>
      </c>
      <c r="D151" s="51">
        <f>'5-P3 Support'!J45</f>
        <v>0</v>
      </c>
      <c r="E151" s="5"/>
      <c r="F151" s="5" t="s">
        <v>91</v>
      </c>
      <c r="G151" s="5">
        <f>+G148</f>
        <v>0</v>
      </c>
      <c r="H151" s="5"/>
      <c r="I151" s="51">
        <f>+G151*D151</f>
        <v>0</v>
      </c>
      <c r="J151" s="38"/>
      <c r="K151" s="54"/>
    </row>
    <row r="152" spans="1:11" ht="12.75">
      <c r="A152" s="69">
        <f t="shared" si="2"/>
        <v>30</v>
      </c>
      <c r="B152" s="40" t="s">
        <v>122</v>
      </c>
      <c r="C152" s="38" t="s">
        <v>483</v>
      </c>
      <c r="D152" s="5">
        <f>SUM(D145:D151)</f>
        <v>158989.5937662675</v>
      </c>
      <c r="E152" s="5"/>
      <c r="F152" s="5"/>
      <c r="G152" s="5"/>
      <c r="H152" s="5"/>
      <c r="I152" s="5">
        <f>SUM(I145:I151)</f>
        <v>0</v>
      </c>
      <c r="J152" s="38"/>
      <c r="K152" s="38"/>
    </row>
    <row r="153" spans="1:11" ht="12.75">
      <c r="A153" s="69"/>
      <c r="B153" s="40"/>
      <c r="C153" s="38"/>
      <c r="D153" s="38"/>
      <c r="E153" s="38"/>
      <c r="F153" s="38"/>
      <c r="G153" s="77"/>
      <c r="H153" s="38"/>
      <c r="I153" s="38"/>
      <c r="J153" s="38"/>
      <c r="K153" s="38"/>
    </row>
    <row r="154" spans="1:11" ht="12.75">
      <c r="A154" s="69">
        <f>+A152+1</f>
        <v>31</v>
      </c>
      <c r="B154" s="40" t="s">
        <v>124</v>
      </c>
      <c r="C154" s="38" t="str">
        <f>"(Note "&amp;A$249&amp;")"</f>
        <v>(Note G)</v>
      </c>
      <c r="D154" s="38"/>
      <c r="E154" s="38"/>
      <c r="F154" s="36"/>
      <c r="G154" s="78"/>
      <c r="H154" s="38"/>
      <c r="I154" s="36"/>
      <c r="J154" s="38"/>
      <c r="K154" s="36"/>
    </row>
    <row r="155" spans="1:11" ht="12.75">
      <c r="A155" s="69">
        <f t="shared" si="2"/>
        <v>32</v>
      </c>
      <c r="B155" s="79" t="s">
        <v>125</v>
      </c>
      <c r="C155" s="38" t="s">
        <v>484</v>
      </c>
      <c r="D155" s="80">
        <f>'13 - Income Tax Allowance '!M28</f>
        <v>0.14094047754659902</v>
      </c>
      <c r="E155" s="38"/>
      <c r="F155" s="36"/>
      <c r="G155" s="78"/>
      <c r="H155" s="38"/>
      <c r="I155" s="36"/>
      <c r="J155" s="38"/>
      <c r="K155" s="36"/>
    </row>
    <row r="156" spans="1:11" ht="12.75">
      <c r="A156" s="69">
        <f>+A155+1</f>
        <v>33</v>
      </c>
      <c r="B156" s="40"/>
      <c r="D156" s="38"/>
      <c r="E156" s="38"/>
      <c r="F156" s="36"/>
      <c r="G156" s="78"/>
      <c r="H156" s="38"/>
      <c r="I156" s="36"/>
      <c r="J156" s="38"/>
      <c r="K156" s="36"/>
    </row>
    <row r="157" spans="1:11" ht="12.75">
      <c r="A157" s="69">
        <f>+A156+1</f>
        <v>34</v>
      </c>
      <c r="B157" s="79" t="str">
        <f>"      1 / (1 - T)  =  (from line "&amp;A155&amp;")"</f>
        <v xml:space="preserve">      1 / (1 - T)  =  (from line 32)</v>
      </c>
      <c r="C157" s="38"/>
      <c r="D157" s="76">
        <f>+IF(D155=0,0,1/(1-D155))</f>
        <v>1.1640636927509806</v>
      </c>
      <c r="E157" s="38"/>
      <c r="F157" s="36"/>
      <c r="G157" s="78"/>
      <c r="H157" s="38"/>
      <c r="I157" s="5"/>
      <c r="J157" s="38"/>
      <c r="K157" s="36"/>
    </row>
    <row r="158" spans="1:11" ht="12.75">
      <c r="A158" s="69">
        <f t="shared" si="2"/>
        <v>35</v>
      </c>
      <c r="B158" s="40" t="s">
        <v>126</v>
      </c>
      <c r="C158" s="38" t="s">
        <v>485</v>
      </c>
      <c r="D158" s="5">
        <f>-'5-P3 Support'!K45</f>
        <v>0</v>
      </c>
      <c r="E158" s="38"/>
      <c r="F158" s="36"/>
      <c r="G158" s="78"/>
      <c r="H158" s="38"/>
      <c r="I158" s="5"/>
      <c r="J158" s="38"/>
      <c r="K158" s="36"/>
    </row>
    <row r="159" spans="1:11" ht="12.75">
      <c r="A159" s="69">
        <f t="shared" si="2"/>
        <v>36</v>
      </c>
      <c r="B159" s="40" t="s">
        <v>127</v>
      </c>
      <c r="C159" s="38" t="s">
        <v>486</v>
      </c>
      <c r="D159" s="5">
        <f>'4g - Exc-Def ADIT Worksheet'!U30</f>
        <v>-1230</v>
      </c>
      <c r="E159" s="38"/>
      <c r="F159" s="36"/>
      <c r="G159" s="5"/>
      <c r="H159" s="38"/>
      <c r="I159" s="5"/>
      <c r="J159" s="38"/>
      <c r="K159" s="36"/>
    </row>
    <row r="160" spans="1:11" ht="12.75">
      <c r="A160" s="69">
        <f t="shared" si="2"/>
        <v>37</v>
      </c>
      <c r="B160" s="40" t="s">
        <v>128</v>
      </c>
      <c r="C160" s="38" t="s">
        <v>487</v>
      </c>
      <c r="D160" s="50">
        <f>+'5-P3 Support'!M45</f>
        <v>99.789562906907705</v>
      </c>
      <c r="E160" s="38"/>
      <c r="F160" s="36"/>
      <c r="G160" s="78"/>
      <c r="H160" s="38"/>
      <c r="I160" s="5"/>
      <c r="J160" s="38"/>
      <c r="K160" s="36"/>
    </row>
    <row r="161" spans="1:11" ht="12.75">
      <c r="A161" s="69">
        <f t="shared" si="2"/>
        <v>38</v>
      </c>
      <c r="B161" s="79" t="s">
        <v>129</v>
      </c>
      <c r="C161" s="88" t="s">
        <v>488</v>
      </c>
      <c r="D161" s="76">
        <f>+(D155/(1-D155)*(I209+I210)*I106)</f>
        <v>-4013.9619416919199</v>
      </c>
      <c r="E161" s="48"/>
      <c r="F161" s="48" t="s">
        <v>45</v>
      </c>
      <c r="G161" s="89"/>
      <c r="H161" s="48"/>
      <c r="I161" s="76">
        <f>+D161</f>
        <v>-4013.9619416919199</v>
      </c>
      <c r="J161" s="38"/>
      <c r="K161" s="90" t="s">
        <v>30</v>
      </c>
    </row>
    <row r="162" spans="1:11" ht="12.75">
      <c r="A162" s="69">
        <f t="shared" si="2"/>
        <v>39</v>
      </c>
      <c r="B162" s="36" t="s">
        <v>131</v>
      </c>
      <c r="C162" s="88" t="str">
        <f>"(Line "&amp;A158&amp;" times Line "&amp;A157&amp;")"</f>
        <v>(Line 35 times Line 34)</v>
      </c>
      <c r="D162" s="76">
        <f>+D$157*D158</f>
        <v>0</v>
      </c>
      <c r="E162" s="48"/>
      <c r="F162" s="62" t="s">
        <v>74</v>
      </c>
      <c r="G162" s="25">
        <f>G84</f>
        <v>0</v>
      </c>
      <c r="H162" s="48"/>
      <c r="I162" s="76">
        <f>+G162*D162</f>
        <v>0</v>
      </c>
      <c r="J162" s="38"/>
      <c r="K162" s="90"/>
    </row>
    <row r="163" spans="1:11" ht="12.75">
      <c r="A163" s="69">
        <f t="shared" si="2"/>
        <v>40</v>
      </c>
      <c r="B163" s="36" t="s">
        <v>133</v>
      </c>
      <c r="C163" s="88" t="str">
        <f>"(Line "&amp;A159&amp;" times Line "&amp;A157&amp;")"</f>
        <v>(Line 36 times Line 34)</v>
      </c>
      <c r="D163" s="76">
        <f>+D$157*D159</f>
        <v>-1431.7983420837063</v>
      </c>
      <c r="E163" s="48"/>
      <c r="F163" s="62" t="s">
        <v>74</v>
      </c>
      <c r="G163" s="25">
        <f>G162</f>
        <v>0</v>
      </c>
      <c r="H163" s="48"/>
      <c r="I163" s="76">
        <f>+G163*D163</f>
        <v>0</v>
      </c>
      <c r="J163" s="38"/>
      <c r="K163" s="90"/>
    </row>
    <row r="164" spans="1:11" ht="13.5" thickBot="1">
      <c r="A164" s="69">
        <f t="shared" si="2"/>
        <v>41</v>
      </c>
      <c r="B164" s="36" t="s">
        <v>135</v>
      </c>
      <c r="C164" s="88" t="str">
        <f>"(Line "&amp;A160&amp;" times Line "&amp;A157&amp;")"</f>
        <v>(Line 37 times Line 34)</v>
      </c>
      <c r="D164" s="91">
        <f>+D$157*D160</f>
        <v>116.16140709542127</v>
      </c>
      <c r="E164" s="48"/>
      <c r="F164" s="62" t="s">
        <v>74</v>
      </c>
      <c r="G164" s="25">
        <f>G163</f>
        <v>0</v>
      </c>
      <c r="H164" s="48"/>
      <c r="I164" s="91">
        <f>+G164*D164</f>
        <v>0</v>
      </c>
      <c r="J164" s="38"/>
      <c r="K164" s="90"/>
    </row>
    <row r="165" spans="1:11" ht="12.75">
      <c r="A165" s="69">
        <f t="shared" si="2"/>
        <v>42</v>
      </c>
      <c r="B165" s="92" t="s">
        <v>137</v>
      </c>
      <c r="C165" s="36" t="s">
        <v>489</v>
      </c>
      <c r="D165" s="76">
        <f>SUM(D161:D164)</f>
        <v>-5329.5988766802047</v>
      </c>
      <c r="E165" s="48"/>
      <c r="F165" s="48" t="s">
        <v>30</v>
      </c>
      <c r="G165" s="89" t="s">
        <v>30</v>
      </c>
      <c r="H165" s="48"/>
      <c r="I165" s="76">
        <f>SUM(I161:I164)</f>
        <v>-4013.9619416919199</v>
      </c>
      <c r="J165" s="38"/>
      <c r="K165" s="38"/>
    </row>
    <row r="166" spans="1:11" ht="12.75">
      <c r="A166" s="69"/>
      <c r="B166" s="36"/>
      <c r="C166" s="94"/>
      <c r="D166" s="5"/>
      <c r="E166" s="38"/>
      <c r="F166" s="38"/>
      <c r="G166" s="77"/>
      <c r="H166" s="38"/>
      <c r="I166" s="5"/>
      <c r="J166" s="38"/>
      <c r="K166" s="38"/>
    </row>
    <row r="167" spans="1:11" ht="12.75">
      <c r="A167" s="69">
        <f>+A165+1</f>
        <v>43</v>
      </c>
      <c r="B167" s="40" t="s">
        <v>139</v>
      </c>
      <c r="J167" s="38"/>
      <c r="K167" s="36"/>
    </row>
    <row r="168" spans="1:11" ht="12.75">
      <c r="A168" s="69">
        <f>A167+1</f>
        <v>44</v>
      </c>
      <c r="B168" s="92" t="s">
        <v>140</v>
      </c>
      <c r="C168" s="79" t="s">
        <v>490</v>
      </c>
      <c r="D168" s="5">
        <f>+$I211*D106</f>
        <v>667004.54649494507</v>
      </c>
      <c r="E168" s="48"/>
      <c r="F168" s="48" t="s">
        <v>45</v>
      </c>
      <c r="G168" s="95"/>
      <c r="H168" s="48"/>
      <c r="I168" s="5">
        <f>+$I211*I106</f>
        <v>-28552.408965231894</v>
      </c>
      <c r="K168" s="54"/>
    </row>
    <row r="169" spans="1:11" ht="12.75">
      <c r="A169" s="69"/>
      <c r="B169" s="40"/>
      <c r="C169" s="36"/>
      <c r="D169" s="5"/>
      <c r="E169" s="48"/>
      <c r="F169" s="48"/>
      <c r="G169" s="95"/>
      <c r="H169" s="48"/>
      <c r="I169" s="5"/>
      <c r="J169" s="38"/>
      <c r="K169" s="54"/>
    </row>
    <row r="170" spans="1:11" ht="13.5" thickBot="1">
      <c r="A170" s="69">
        <f>A168+1</f>
        <v>45</v>
      </c>
      <c r="B170" s="40" t="s">
        <v>142</v>
      </c>
      <c r="C170" s="38" t="s">
        <v>491</v>
      </c>
      <c r="D170" s="96">
        <f>+D168+D165+D152+D141+D134</f>
        <v>1957940.893371348</v>
      </c>
      <c r="E170" s="48"/>
      <c r="F170" s="48"/>
      <c r="G170" s="48"/>
      <c r="H170" s="48"/>
      <c r="I170" s="96">
        <f>+I168+I165+I152+I141+I134</f>
        <v>-32566.370906923814</v>
      </c>
      <c r="J170" s="40"/>
      <c r="K170" s="40"/>
    </row>
    <row r="171" spans="1:11" ht="13.5" thickTop="1">
      <c r="A171" s="69"/>
      <c r="B171" s="40"/>
      <c r="C171" s="38"/>
      <c r="D171" s="48"/>
      <c r="E171" s="48"/>
      <c r="F171" s="48"/>
      <c r="G171" s="48"/>
      <c r="H171" s="48"/>
      <c r="I171" s="5"/>
      <c r="J171" s="40"/>
      <c r="K171" s="40"/>
    </row>
    <row r="172" spans="1:11" ht="12.75">
      <c r="A172" s="69"/>
      <c r="B172" s="62"/>
      <c r="C172" s="48"/>
      <c r="D172" s="48"/>
      <c r="E172" s="48"/>
      <c r="F172" s="48"/>
      <c r="G172" s="48"/>
      <c r="H172" s="48"/>
      <c r="I172" s="48"/>
      <c r="J172" s="40"/>
      <c r="K172" s="40"/>
    </row>
    <row r="173" spans="1:11" ht="12.75">
      <c r="A173" s="43"/>
      <c r="B173" s="36"/>
      <c r="C173" s="36"/>
      <c r="D173" s="36"/>
      <c r="E173" s="36"/>
      <c r="F173" s="36"/>
      <c r="G173" s="36"/>
      <c r="H173" s="36"/>
      <c r="I173" s="36"/>
      <c r="J173" s="38"/>
      <c r="K173" s="65" t="s">
        <v>492</v>
      </c>
    </row>
    <row r="174" spans="1:11" ht="12.75">
      <c r="A174" s="43"/>
      <c r="B174" s="36"/>
      <c r="C174" s="36"/>
      <c r="D174" s="36"/>
      <c r="E174" s="36"/>
      <c r="F174" s="36"/>
      <c r="G174" s="36"/>
      <c r="H174" s="36"/>
      <c r="I174" s="36"/>
      <c r="J174" s="38"/>
      <c r="K174" s="38"/>
    </row>
    <row r="175" spans="1:11" ht="12.75">
      <c r="A175" s="43"/>
      <c r="B175" s="40" t="s">
        <v>97</v>
      </c>
      <c r="C175" s="36"/>
      <c r="D175" s="97" t="s">
        <v>394</v>
      </c>
      <c r="E175" s="36"/>
      <c r="F175" s="36"/>
      <c r="G175" s="36"/>
      <c r="H175" s="36"/>
      <c r="I175" s="62"/>
      <c r="J175" s="38"/>
      <c r="K175" s="98" t="str">
        <f>K3</f>
        <v>For the 12 months ended 12/31/2021</v>
      </c>
    </row>
    <row r="176" spans="1:11" ht="12.75">
      <c r="A176" s="43"/>
      <c r="B176" s="40"/>
      <c r="C176" s="36"/>
      <c r="D176" s="97" t="s">
        <v>395</v>
      </c>
      <c r="E176" s="36"/>
      <c r="F176" s="36"/>
      <c r="G176" s="36"/>
      <c r="H176" s="36"/>
      <c r="I176" s="36"/>
      <c r="J176" s="38"/>
      <c r="K176" s="38"/>
    </row>
    <row r="177" spans="1:11" ht="12.75">
      <c r="A177" s="43"/>
      <c r="B177" s="36"/>
      <c r="C177" s="36"/>
      <c r="D177" s="97" t="str">
        <f>+D113</f>
        <v>GridLiance High Plains LLC</v>
      </c>
      <c r="E177" s="36"/>
      <c r="F177" s="36"/>
      <c r="G177" s="36"/>
      <c r="H177" s="36"/>
      <c r="I177" s="36"/>
      <c r="J177" s="38"/>
      <c r="K177" s="38"/>
    </row>
    <row r="178" spans="1:11" ht="12.75">
      <c r="A178" s="1036"/>
      <c r="B178" s="1036"/>
      <c r="C178" s="1036"/>
      <c r="D178" s="1036"/>
      <c r="E178" s="1036"/>
      <c r="F178" s="1036"/>
      <c r="G178" s="1036"/>
      <c r="H178" s="1036"/>
      <c r="I178" s="1036"/>
      <c r="J178" s="1036"/>
      <c r="K178" s="1036"/>
    </row>
    <row r="179" spans="1:11" s="73" customFormat="1" ht="12.75">
      <c r="A179" s="99"/>
      <c r="B179" s="37" t="s">
        <v>27</v>
      </c>
      <c r="C179" s="37" t="s">
        <v>28</v>
      </c>
      <c r="D179" s="37" t="s">
        <v>29</v>
      </c>
      <c r="E179" s="38" t="s">
        <v>30</v>
      </c>
      <c r="F179" s="38"/>
      <c r="G179" s="39" t="s">
        <v>31</v>
      </c>
      <c r="H179" s="38"/>
      <c r="I179" s="39" t="s">
        <v>32</v>
      </c>
      <c r="J179" s="70"/>
      <c r="K179" s="70"/>
    </row>
    <row r="180" spans="1:11" ht="12.75">
      <c r="A180" s="43"/>
      <c r="B180" s="36"/>
      <c r="C180" s="40"/>
      <c r="D180" s="40"/>
      <c r="E180" s="40"/>
      <c r="F180" s="40"/>
      <c r="G180" s="40"/>
      <c r="H180" s="40"/>
      <c r="I180" s="40"/>
      <c r="J180" s="40"/>
      <c r="K180" s="40"/>
    </row>
    <row r="181" spans="1:11" ht="12.75">
      <c r="A181" s="43"/>
      <c r="B181" s="36"/>
      <c r="C181" s="47" t="s">
        <v>145</v>
      </c>
      <c r="D181" s="36"/>
      <c r="E181" s="40"/>
      <c r="F181" s="40"/>
      <c r="G181" s="40"/>
      <c r="H181" s="40"/>
      <c r="I181" s="40"/>
      <c r="J181" s="38"/>
      <c r="K181" s="38"/>
    </row>
    <row r="182" spans="1:11" ht="12.75">
      <c r="A182" s="43" t="s">
        <v>35</v>
      </c>
      <c r="B182" s="47"/>
      <c r="C182" s="40"/>
      <c r="D182" s="40"/>
      <c r="E182" s="40"/>
      <c r="F182" s="40"/>
      <c r="G182" s="40"/>
      <c r="H182" s="40"/>
      <c r="I182" s="40"/>
      <c r="J182" s="38"/>
      <c r="K182" s="38"/>
    </row>
    <row r="183" spans="1:11" ht="13.5" thickBot="1">
      <c r="A183" s="46" t="s">
        <v>40</v>
      </c>
      <c r="B183" s="52" t="s">
        <v>493</v>
      </c>
      <c r="C183" s="40"/>
      <c r="D183" s="40"/>
      <c r="E183" s="40"/>
      <c r="F183" s="40"/>
      <c r="G183" s="40"/>
      <c r="H183" s="36"/>
      <c r="I183" s="36"/>
      <c r="J183" s="38"/>
      <c r="K183" s="38"/>
    </row>
    <row r="184" spans="1:11" ht="12.75">
      <c r="A184" s="43">
        <v>1</v>
      </c>
      <c r="B184" s="52" t="s">
        <v>494</v>
      </c>
      <c r="C184" s="40" t="s">
        <v>495</v>
      </c>
      <c r="D184" s="38"/>
      <c r="E184" s="38"/>
      <c r="F184" s="38"/>
      <c r="G184" s="38"/>
      <c r="H184" s="38"/>
      <c r="I184" s="5">
        <f>D64</f>
        <v>0</v>
      </c>
      <c r="J184" s="38"/>
      <c r="K184" s="38"/>
    </row>
    <row r="185" spans="1:11" ht="12.75">
      <c r="A185" s="43">
        <f>+A184+1</f>
        <v>2</v>
      </c>
      <c r="B185" s="52" t="s">
        <v>496</v>
      </c>
      <c r="C185" s="36" t="s">
        <v>497</v>
      </c>
      <c r="D185" s="36"/>
      <c r="E185" s="36"/>
      <c r="F185" s="36"/>
      <c r="G185" s="36"/>
      <c r="H185" s="36"/>
      <c r="I185" s="59">
        <v>0</v>
      </c>
      <c r="J185" s="38"/>
      <c r="K185" s="38"/>
    </row>
    <row r="186" spans="1:11" ht="13.5" thickBot="1">
      <c r="A186" s="43">
        <f>+A185+1</f>
        <v>3</v>
      </c>
      <c r="B186" s="294" t="s">
        <v>498</v>
      </c>
      <c r="C186" s="108" t="s">
        <v>499</v>
      </c>
      <c r="D186" s="62"/>
      <c r="E186" s="38"/>
      <c r="F186" s="38"/>
      <c r="G186" s="66"/>
      <c r="H186" s="38"/>
      <c r="I186" s="291">
        <v>0</v>
      </c>
      <c r="J186" s="38"/>
      <c r="K186" s="38"/>
    </row>
    <row r="187" spans="1:11" ht="12.75">
      <c r="A187" s="43">
        <f t="shared" si="3" ref="A187:A218">+A186+1</f>
        <v>4</v>
      </c>
      <c r="B187" s="52" t="s">
        <v>500</v>
      </c>
      <c r="C187" s="40" t="s">
        <v>501</v>
      </c>
      <c r="D187" s="38"/>
      <c r="E187" s="38"/>
      <c r="F187" s="38"/>
      <c r="G187" s="66"/>
      <c r="H187" s="38"/>
      <c r="I187" s="5">
        <f>I184-I185-I186</f>
        <v>0</v>
      </c>
      <c r="J187" s="38"/>
      <c r="K187" s="38"/>
    </row>
    <row r="188" spans="1:11" ht="12.75">
      <c r="A188" s="43"/>
      <c r="B188" s="36"/>
      <c r="C188" s="40"/>
      <c r="D188" s="38"/>
      <c r="E188" s="38"/>
      <c r="F188" s="38"/>
      <c r="G188" s="66"/>
      <c r="H188" s="38"/>
      <c r="I188" s="5"/>
      <c r="J188" s="38"/>
      <c r="K188" s="38"/>
    </row>
    <row r="189" spans="1:11" ht="12.75">
      <c r="A189" s="43">
        <f>+A187+1</f>
        <v>5</v>
      </c>
      <c r="B189" s="52" t="s">
        <v>502</v>
      </c>
      <c r="C189" s="272" t="s">
        <v>503</v>
      </c>
      <c r="D189" s="272"/>
      <c r="E189" s="272"/>
      <c r="F189" s="272"/>
      <c r="G189" s="39"/>
      <c r="H189" s="38" t="s">
        <v>504</v>
      </c>
      <c r="I189" s="295">
        <f>IF(I184&gt;0,I187/I184,0)</f>
        <v>0</v>
      </c>
      <c r="J189" s="38"/>
      <c r="K189" s="38"/>
    </row>
    <row r="190" spans="1:11" ht="12.75">
      <c r="A190" s="43"/>
      <c r="B190" s="36"/>
      <c r="C190" s="36"/>
      <c r="D190" s="36"/>
      <c r="E190" s="36"/>
      <c r="F190" s="36"/>
      <c r="G190" s="36"/>
      <c r="H190" s="36"/>
      <c r="I190" s="36"/>
      <c r="J190" s="36"/>
      <c r="K190" s="36"/>
    </row>
    <row r="191" spans="1:11" ht="12.75">
      <c r="A191" s="43">
        <f>+A189+1</f>
        <v>6</v>
      </c>
      <c r="B191" s="40" t="s">
        <v>146</v>
      </c>
      <c r="C191" s="38"/>
      <c r="D191" s="38"/>
      <c r="E191" s="38"/>
      <c r="F191" s="38"/>
      <c r="G191" s="38"/>
      <c r="H191" s="38"/>
      <c r="I191" s="38"/>
      <c r="J191" s="38"/>
      <c r="K191" s="38"/>
    </row>
    <row r="192" spans="1:11" ht="13.5" thickBot="1">
      <c r="A192" s="43"/>
      <c r="B192" s="40"/>
      <c r="C192" s="100" t="s">
        <v>147</v>
      </c>
      <c r="D192" s="101" t="s">
        <v>148</v>
      </c>
      <c r="E192" s="101" t="s">
        <v>402</v>
      </c>
      <c r="F192" s="38"/>
      <c r="G192" s="101" t="s">
        <v>150</v>
      </c>
      <c r="H192" s="38"/>
      <c r="I192" s="38"/>
      <c r="J192" s="38"/>
      <c r="K192" s="38"/>
    </row>
    <row r="193" spans="1:11" ht="12.75">
      <c r="A193" s="43">
        <f>+A191+1</f>
        <v>7</v>
      </c>
      <c r="B193" s="40" t="s">
        <v>44</v>
      </c>
      <c r="C193" s="38" t="s">
        <v>505</v>
      </c>
      <c r="D193" s="59">
        <v>0</v>
      </c>
      <c r="E193" s="25">
        <v>0</v>
      </c>
      <c r="F193" s="102"/>
      <c r="G193" s="5">
        <f>D193*E193</f>
        <v>0</v>
      </c>
      <c r="H193" s="48"/>
      <c r="I193" s="48"/>
      <c r="J193" s="38"/>
      <c r="K193" s="38"/>
    </row>
    <row r="194" spans="1:11" ht="12.75">
      <c r="A194" s="43">
        <f t="shared" si="3"/>
        <v>8</v>
      </c>
      <c r="B194" s="40" t="s">
        <v>46</v>
      </c>
      <c r="C194" s="38" t="s">
        <v>506</v>
      </c>
      <c r="D194" s="59">
        <v>0</v>
      </c>
      <c r="E194" s="25">
        <f>+I189</f>
        <v>0</v>
      </c>
      <c r="F194" s="102"/>
      <c r="G194" s="5">
        <f>D194*E194</f>
        <v>0</v>
      </c>
      <c r="H194" s="48"/>
      <c r="I194" s="48"/>
      <c r="J194" s="38"/>
      <c r="K194" s="38"/>
    </row>
    <row r="195" spans="1:11" ht="12.75">
      <c r="A195" s="43">
        <f t="shared" si="3"/>
        <v>9</v>
      </c>
      <c r="B195" s="40" t="s">
        <v>47</v>
      </c>
      <c r="C195" s="38" t="s">
        <v>507</v>
      </c>
      <c r="D195" s="60">
        <v>1</v>
      </c>
      <c r="E195" s="25">
        <v>0</v>
      </c>
      <c r="F195" s="102"/>
      <c r="G195" s="5">
        <f>D195*E195</f>
        <v>0</v>
      </c>
      <c r="H195" s="48"/>
      <c r="I195" s="103" t="s">
        <v>151</v>
      </c>
      <c r="J195" s="38"/>
      <c r="K195" s="38"/>
    </row>
    <row r="196" spans="1:11" ht="13.5" thickBot="1">
      <c r="A196" s="43">
        <f t="shared" si="3"/>
        <v>10</v>
      </c>
      <c r="B196" s="40" t="s">
        <v>152</v>
      </c>
      <c r="C196" s="38" t="s">
        <v>508</v>
      </c>
      <c r="D196" s="291">
        <v>0</v>
      </c>
      <c r="E196" s="25">
        <v>0</v>
      </c>
      <c r="F196" s="102"/>
      <c r="G196" s="51">
        <f>D196*E196</f>
        <v>0</v>
      </c>
      <c r="H196" s="48"/>
      <c r="I196" s="104" t="s">
        <v>153</v>
      </c>
      <c r="J196" s="38"/>
      <c r="K196" s="38"/>
    </row>
    <row r="197" spans="1:11" ht="12.75">
      <c r="A197" s="43">
        <f t="shared" si="3"/>
        <v>11</v>
      </c>
      <c r="B197" s="40" t="s">
        <v>154</v>
      </c>
      <c r="C197" s="38" t="s">
        <v>509</v>
      </c>
      <c r="D197" s="5">
        <f>SUM(D193:D196)</f>
        <v>1</v>
      </c>
      <c r="E197" s="38"/>
      <c r="F197" s="38"/>
      <c r="G197" s="5">
        <f>SUM(G193:G196)</f>
        <v>0</v>
      </c>
      <c r="H197" s="105" t="s">
        <v>156</v>
      </c>
      <c r="I197" s="56">
        <f>IF(G197&gt;0,G197/D197,0)</f>
        <v>0</v>
      </c>
      <c r="J197" s="66" t="s">
        <v>156</v>
      </c>
      <c r="K197" s="38" t="s">
        <v>157</v>
      </c>
    </row>
    <row r="198" spans="1:11" ht="12.75">
      <c r="A198" s="43"/>
      <c r="B198" s="40" t="s">
        <v>30</v>
      </c>
      <c r="C198" s="38" t="s">
        <v>30</v>
      </c>
      <c r="D198" s="36"/>
      <c r="E198" s="38"/>
      <c r="F198" s="38"/>
      <c r="G198" s="36"/>
      <c r="H198" s="36"/>
      <c r="I198" s="36"/>
      <c r="J198" s="36"/>
      <c r="K198" s="38"/>
    </row>
    <row r="199" spans="1:11" ht="12.75">
      <c r="A199" s="43">
        <f>+A197+1</f>
        <v>12</v>
      </c>
      <c r="B199" s="40" t="s">
        <v>510</v>
      </c>
      <c r="C199" s="38"/>
      <c r="D199" s="41" t="s">
        <v>148</v>
      </c>
      <c r="E199" s="38"/>
      <c r="F199" s="38"/>
      <c r="G199" s="66" t="s">
        <v>159</v>
      </c>
      <c r="H199" s="78"/>
      <c r="I199" s="54" t="s">
        <v>151</v>
      </c>
      <c r="J199" s="38"/>
      <c r="K199" s="38"/>
    </row>
    <row r="200" spans="1:11" ht="12.75">
      <c r="A200" s="43">
        <f t="shared" si="3"/>
        <v>13</v>
      </c>
      <c r="B200" s="40" t="s">
        <v>160</v>
      </c>
      <c r="C200" s="38" t="s">
        <v>511</v>
      </c>
      <c r="D200" s="59">
        <f>+D80</f>
        <v>0</v>
      </c>
      <c r="E200" s="38"/>
      <c r="F200" s="36"/>
      <c r="G200" s="43" t="s">
        <v>512</v>
      </c>
      <c r="H200" s="106"/>
      <c r="I200" s="43" t="s">
        <v>513</v>
      </c>
      <c r="J200" s="38"/>
      <c r="K200" s="37" t="s">
        <v>53</v>
      </c>
    </row>
    <row r="201" spans="1:11" ht="12.75">
      <c r="A201" s="43">
        <f t="shared" si="3"/>
        <v>14</v>
      </c>
      <c r="B201" s="40" t="s">
        <v>163</v>
      </c>
      <c r="C201" s="38" t="s">
        <v>514</v>
      </c>
      <c r="D201" s="59">
        <v>0</v>
      </c>
      <c r="E201" s="38"/>
      <c r="F201" s="36"/>
      <c r="G201" s="56">
        <f>IF(D203&gt;0,D200/D203,0)</f>
        <v>0</v>
      </c>
      <c r="H201" s="107" t="s">
        <v>164</v>
      </c>
      <c r="I201" s="56">
        <f>I197</f>
        <v>0</v>
      </c>
      <c r="J201" s="107" t="s">
        <v>156</v>
      </c>
      <c r="K201" s="56">
        <f>I201*G201</f>
        <v>0</v>
      </c>
    </row>
    <row r="202" spans="1:11" ht="13.5" thickBot="1">
      <c r="A202" s="43">
        <f t="shared" si="3"/>
        <v>15</v>
      </c>
      <c r="B202" s="108" t="s">
        <v>152</v>
      </c>
      <c r="C202" s="100" t="s">
        <v>515</v>
      </c>
      <c r="D202" s="291">
        <v>0</v>
      </c>
      <c r="E202" s="38"/>
      <c r="F202" s="38"/>
      <c r="G202" s="38" t="s">
        <v>30</v>
      </c>
      <c r="H202" s="38"/>
      <c r="I202" s="38"/>
      <c r="J202" s="38"/>
      <c r="K202" s="38"/>
    </row>
    <row r="203" spans="1:11" ht="12.75">
      <c r="A203" s="43">
        <f t="shared" si="3"/>
        <v>16</v>
      </c>
      <c r="B203" s="40" t="s">
        <v>166</v>
      </c>
      <c r="C203" s="38" t="s">
        <v>516</v>
      </c>
      <c r="D203" s="5">
        <f>D200+D201+D202</f>
        <v>0</v>
      </c>
      <c r="E203" s="38"/>
      <c r="F203" s="38"/>
      <c r="G203" s="38"/>
      <c r="H203" s="38"/>
      <c r="I203" s="38"/>
      <c r="J203" s="38"/>
      <c r="K203" s="38"/>
    </row>
    <row r="204" spans="1:11" ht="12.75">
      <c r="A204" s="43"/>
      <c r="B204" s="40"/>
      <c r="C204" s="38"/>
      <c r="D204" s="36"/>
      <c r="E204" s="38"/>
      <c r="F204" s="38"/>
      <c r="G204" s="38"/>
      <c r="H204" s="38"/>
      <c r="I204" s="38"/>
      <c r="J204" s="38"/>
      <c r="K204" s="38"/>
    </row>
    <row r="205" spans="1:11" ht="13.5" thickBot="1">
      <c r="A205" s="43">
        <f>+A203+1</f>
        <v>17</v>
      </c>
      <c r="B205" s="52" t="s">
        <v>168</v>
      </c>
      <c r="C205" s="38" t="s">
        <v>517</v>
      </c>
      <c r="D205" s="38"/>
      <c r="E205" s="38"/>
      <c r="F205" s="38"/>
      <c r="G205" s="38"/>
      <c r="H205" s="38"/>
      <c r="I205" s="101" t="s">
        <v>148</v>
      </c>
      <c r="J205" s="38"/>
      <c r="K205" s="38"/>
    </row>
    <row r="206" spans="1:11" ht="12.75">
      <c r="A206" s="43">
        <f>+A205+1</f>
        <v>18</v>
      </c>
      <c r="B206" s="40"/>
      <c r="C206" s="38"/>
      <c r="D206" s="38"/>
      <c r="E206" s="38"/>
      <c r="F206" s="38"/>
      <c r="G206" s="66" t="s">
        <v>170</v>
      </c>
      <c r="H206" s="38"/>
      <c r="I206" s="38"/>
      <c r="J206" s="38"/>
      <c r="K206" s="38"/>
    </row>
    <row r="207" spans="1:11" ht="13.5" thickBot="1">
      <c r="A207" s="43">
        <f t="shared" si="3"/>
        <v>19</v>
      </c>
      <c r="B207" s="40"/>
      <c r="C207" s="38"/>
      <c r="D207" s="46" t="s">
        <v>148</v>
      </c>
      <c r="E207" s="46" t="s">
        <v>169</v>
      </c>
      <c r="F207" s="38"/>
      <c r="G207" s="97" t="str">
        <f>"(Notes "&amp;A257&amp;", "&amp;A263&amp;", &amp; "&amp;A264&amp;")"</f>
        <v>(Notes K, Q, &amp; R)</v>
      </c>
      <c r="H207" s="38"/>
      <c r="I207" s="46" t="s">
        <v>171</v>
      </c>
      <c r="J207" s="38"/>
      <c r="K207" s="38"/>
    </row>
    <row r="208" spans="1:11" ht="12.75">
      <c r="A208" s="43">
        <f t="shared" si="3"/>
        <v>20</v>
      </c>
      <c r="B208" s="52" t="s">
        <v>172</v>
      </c>
      <c r="C208" s="36" t="s">
        <v>518</v>
      </c>
      <c r="D208" s="296">
        <v>54414846.153846152</v>
      </c>
      <c r="E208" s="297">
        <f>+MAX(D208/D$211,40%)</f>
        <v>0.40000000000000002</v>
      </c>
      <c r="F208" s="25"/>
      <c r="G208" s="26">
        <f>'5-P3 Support'!I85</f>
        <v>0.024553397070887995</v>
      </c>
      <c r="H208" s="111"/>
      <c r="I208" s="25">
        <f>IF(E208=0,0,E208*G208)</f>
        <v>0.0098213588283551992</v>
      </c>
      <c r="J208" s="112" t="s">
        <v>173</v>
      </c>
      <c r="K208" s="36"/>
    </row>
    <row r="209" spans="1:11" ht="12.75">
      <c r="A209" s="43">
        <f t="shared" si="3"/>
        <v>21</v>
      </c>
      <c r="B209" s="52" t="s">
        <v>174</v>
      </c>
      <c r="C209" s="36" t="s">
        <v>518</v>
      </c>
      <c r="D209" s="147">
        <v>0</v>
      </c>
      <c r="E209" s="297">
        <v>0</v>
      </c>
      <c r="F209" s="25"/>
      <c r="G209" s="257">
        <v>0</v>
      </c>
      <c r="H209" s="111"/>
      <c r="I209" s="25">
        <f>E209*G209</f>
        <v>0</v>
      </c>
      <c r="J209" s="38"/>
      <c r="K209" s="36"/>
    </row>
    <row r="210" spans="1:11" ht="13.5" thickBot="1">
      <c r="A210" s="43">
        <f t="shared" si="3"/>
        <v>22</v>
      </c>
      <c r="B210" s="52" t="s">
        <v>175</v>
      </c>
      <c r="C210" s="36" t="s">
        <v>519</v>
      </c>
      <c r="D210" s="298">
        <v>81808385.220143661</v>
      </c>
      <c r="E210" s="297">
        <f>+MIN(D210/D$211,60%)</f>
        <v>0.59999999999999998</v>
      </c>
      <c r="F210" s="288"/>
      <c r="G210" s="111">
        <v>0.098000000000000004</v>
      </c>
      <c r="H210" s="111"/>
      <c r="I210" s="32">
        <f>E210*G210</f>
        <v>0.058799999999999998</v>
      </c>
      <c r="J210" s="38"/>
      <c r="K210" s="36"/>
    </row>
    <row r="211" spans="1:11" ht="12.75">
      <c r="A211" s="43">
        <f t="shared" si="3"/>
        <v>23</v>
      </c>
      <c r="B211" s="40" t="s">
        <v>176</v>
      </c>
      <c r="C211" s="36" t="s">
        <v>520</v>
      </c>
      <c r="D211" s="114">
        <f>SUM(D208:D210)</f>
        <v>136223231.37398982</v>
      </c>
      <c r="E211" s="38" t="s">
        <v>30</v>
      </c>
      <c r="F211" s="38"/>
      <c r="G211" s="111"/>
      <c r="H211" s="111"/>
      <c r="I211" s="25">
        <f>SUM(I208:I210)</f>
        <v>0.068621358828355197</v>
      </c>
      <c r="J211" s="112" t="s">
        <v>178</v>
      </c>
      <c r="K211" s="36"/>
    </row>
    <row r="212" spans="1:11" ht="12.75">
      <c r="A212" s="43"/>
      <c r="B212" s="36"/>
      <c r="C212" s="36"/>
      <c r="D212" s="36"/>
      <c r="E212" s="38"/>
      <c r="F212" s="38"/>
      <c r="G212" s="38"/>
      <c r="H212" s="38"/>
      <c r="I212" s="111"/>
      <c r="J212" s="36"/>
      <c r="K212" s="36"/>
    </row>
    <row r="213" spans="1:11" ht="12.75">
      <c r="A213" s="43">
        <f>+A211+1</f>
        <v>24</v>
      </c>
      <c r="B213" s="52" t="s">
        <v>521</v>
      </c>
      <c r="C213" s="52"/>
      <c r="D213" s="52"/>
      <c r="E213" s="52"/>
      <c r="F213" s="52"/>
      <c r="G213" s="52"/>
      <c r="H213" s="52"/>
      <c r="I213" s="52"/>
      <c r="J213" s="52"/>
      <c r="K213" s="52"/>
    </row>
    <row r="214" spans="1:11" ht="13.5" thickBot="1">
      <c r="A214" s="43"/>
      <c r="B214" s="52"/>
      <c r="C214" s="52"/>
      <c r="D214" s="52"/>
      <c r="E214" s="52"/>
      <c r="F214" s="52"/>
      <c r="G214" s="52"/>
      <c r="H214" s="52"/>
      <c r="I214" s="46"/>
      <c r="J214" s="43"/>
      <c r="K214" s="36"/>
    </row>
    <row r="215" spans="1:11" ht="12.75">
      <c r="A215" s="43">
        <f>+A213+1</f>
        <v>25</v>
      </c>
      <c r="B215" s="52" t="s">
        <v>522</v>
      </c>
      <c r="C215" s="52" t="s">
        <v>523</v>
      </c>
      <c r="D215" s="52"/>
      <c r="E215" s="52"/>
      <c r="F215" s="52"/>
      <c r="G215" s="299" t="s">
        <v>30</v>
      </c>
      <c r="H215" s="300"/>
      <c r="I215" s="36"/>
      <c r="J215" s="36"/>
      <c r="K215" s="36"/>
    </row>
    <row r="216" spans="1:11" ht="12.75">
      <c r="A216" s="43">
        <f t="shared" si="3"/>
        <v>26</v>
      </c>
      <c r="B216" s="36" t="s">
        <v>524</v>
      </c>
      <c r="C216" s="52" t="s">
        <v>525</v>
      </c>
      <c r="D216" s="52"/>
      <c r="E216" s="36"/>
      <c r="F216" s="52"/>
      <c r="G216" s="36"/>
      <c r="H216" s="300"/>
      <c r="I216" s="301">
        <v>0</v>
      </c>
      <c r="J216" s="302"/>
      <c r="K216" s="36"/>
    </row>
    <row r="217" spans="1:11" ht="13.5" thickBot="1">
      <c r="A217" s="43">
        <f t="shared" si="3"/>
        <v>27</v>
      </c>
      <c r="B217" s="303" t="s">
        <v>526</v>
      </c>
      <c r="C217" s="38" t="s">
        <v>527</v>
      </c>
      <c r="D217" s="36"/>
      <c r="E217" s="52"/>
      <c r="F217" s="52"/>
      <c r="G217" s="52"/>
      <c r="H217" s="52"/>
      <c r="I217" s="304">
        <f>+'5-P3 Support'!C67</f>
        <v>0</v>
      </c>
      <c r="J217" s="302"/>
      <c r="K217" s="36"/>
    </row>
    <row r="218" spans="1:11" ht="12.75">
      <c r="A218" s="43">
        <f t="shared" si="3"/>
        <v>28</v>
      </c>
      <c r="B218" s="36" t="s">
        <v>528</v>
      </c>
      <c r="C218" s="40"/>
      <c r="D218" s="36"/>
      <c r="E218" s="52"/>
      <c r="F218" s="52"/>
      <c r="G218" s="52"/>
      <c r="H218" s="52"/>
      <c r="I218" s="221">
        <f>I216-I217</f>
        <v>0</v>
      </c>
      <c r="J218" s="302"/>
      <c r="K218" s="36"/>
    </row>
    <row r="219" spans="1:11" ht="12.75">
      <c r="A219" s="43"/>
      <c r="B219" s="36"/>
      <c r="C219" s="40"/>
      <c r="D219" s="36"/>
      <c r="E219" s="52"/>
      <c r="F219" s="52"/>
      <c r="G219" s="52"/>
      <c r="H219" s="52"/>
      <c r="I219" s="265"/>
      <c r="J219" s="36"/>
      <c r="K219" s="36"/>
    </row>
    <row r="220" spans="1:11" ht="12.75">
      <c r="A220" s="43">
        <f>+A218+1</f>
        <v>29</v>
      </c>
      <c r="B220" s="52" t="s">
        <v>529</v>
      </c>
      <c r="C220" s="40" t="s">
        <v>530</v>
      </c>
      <c r="D220" s="36"/>
      <c r="E220" s="52"/>
      <c r="F220" s="52"/>
      <c r="G220" s="305"/>
      <c r="H220" s="52"/>
      <c r="I220" s="59">
        <f>+'5-P3 Support'!D67</f>
        <v>0</v>
      </c>
      <c r="J220" s="36"/>
      <c r="K220" s="306"/>
    </row>
    <row r="221" spans="1:11" ht="12.75">
      <c r="A221" s="43"/>
      <c r="B221" s="36"/>
      <c r="C221" s="52"/>
      <c r="D221" s="52"/>
      <c r="E221" s="52"/>
      <c r="F221" s="52"/>
      <c r="G221" s="52"/>
      <c r="H221" s="52"/>
      <c r="I221" s="265"/>
      <c r="J221" s="36"/>
      <c r="K221" s="306"/>
    </row>
    <row r="222" spans="1:11" ht="12.75">
      <c r="A222" s="43">
        <f>+A220+1</f>
        <v>30</v>
      </c>
      <c r="B222" s="52" t="s">
        <v>531</v>
      </c>
      <c r="C222" s="52" t="s">
        <v>532</v>
      </c>
      <c r="D222" s="52"/>
      <c r="E222" s="52"/>
      <c r="F222" s="52"/>
      <c r="G222" s="52"/>
      <c r="H222" s="52"/>
      <c r="I222" s="36"/>
      <c r="J222" s="36"/>
      <c r="K222" s="306"/>
    </row>
    <row r="223" spans="1:11" ht="12.75">
      <c r="A223" s="43">
        <f>+A222+1</f>
        <v>31</v>
      </c>
      <c r="B223" s="307" t="s">
        <v>533</v>
      </c>
      <c r="C223" s="38" t="s">
        <v>534</v>
      </c>
      <c r="D223" s="38"/>
      <c r="E223" s="38"/>
      <c r="F223" s="38"/>
      <c r="G223" s="38"/>
      <c r="H223" s="38"/>
      <c r="I223" s="308">
        <f>+'5-P3 Support'!E67</f>
        <v>0</v>
      </c>
      <c r="J223" s="38"/>
      <c r="K223" s="306"/>
    </row>
    <row r="224" spans="1:11" ht="26.25" thickBot="1">
      <c r="A224" s="43">
        <f>+A223+1</f>
        <v>32</v>
      </c>
      <c r="B224" s="309" t="s">
        <v>535</v>
      </c>
      <c r="C224" s="38" t="s">
        <v>536</v>
      </c>
      <c r="D224" s="52"/>
      <c r="E224" s="52"/>
      <c r="F224" s="52"/>
      <c r="G224" s="52"/>
      <c r="H224" s="52"/>
      <c r="I224" s="310">
        <f>+'5-P3 Support'!F67</f>
        <v>0</v>
      </c>
      <c r="J224" s="36"/>
      <c r="K224" s="311"/>
    </row>
    <row r="225" spans="1:11" ht="12.75">
      <c r="A225" s="43">
        <f>+A224+1</f>
        <v>33</v>
      </c>
      <c r="B225" s="62" t="s">
        <v>528</v>
      </c>
      <c r="C225" s="43"/>
      <c r="D225" s="38"/>
      <c r="E225" s="38"/>
      <c r="F225" s="38"/>
      <c r="G225" s="38"/>
      <c r="H225" s="52"/>
      <c r="I225" s="5">
        <f>+I223-I224</f>
        <v>0</v>
      </c>
      <c r="J225" s="38"/>
      <c r="K225" s="38"/>
    </row>
    <row r="226" spans="1:11" ht="12.75">
      <c r="A226" s="43"/>
      <c r="B226" s="62"/>
      <c r="C226" s="43"/>
      <c r="D226" s="38"/>
      <c r="E226" s="38"/>
      <c r="F226" s="38"/>
      <c r="G226" s="38"/>
      <c r="H226" s="52"/>
      <c r="I226" s="5"/>
      <c r="J226" s="38"/>
      <c r="K226" s="38"/>
    </row>
    <row r="227" spans="1:11" ht="12.75">
      <c r="A227" s="43"/>
      <c r="D227" s="38"/>
      <c r="E227" s="38"/>
      <c r="F227" s="38"/>
      <c r="G227" s="38"/>
      <c r="H227" s="52"/>
      <c r="I227" s="5"/>
      <c r="J227" s="38"/>
      <c r="K227" s="38"/>
    </row>
    <row r="228" spans="1:11" ht="12.75">
      <c r="A228" s="43"/>
      <c r="B228" s="62"/>
      <c r="C228" s="43"/>
      <c r="D228" s="38"/>
      <c r="E228" s="38"/>
      <c r="F228" s="38"/>
      <c r="G228" s="38"/>
      <c r="H228" s="52"/>
      <c r="I228" s="5"/>
      <c r="J228" s="38"/>
      <c r="K228" s="38"/>
    </row>
    <row r="229" spans="1:11" ht="12.75">
      <c r="A229" s="43"/>
      <c r="B229" s="62"/>
      <c r="C229" s="43"/>
      <c r="D229" s="38"/>
      <c r="E229" s="38"/>
      <c r="F229" s="38"/>
      <c r="G229" s="38"/>
      <c r="H229" s="52"/>
      <c r="I229" s="5"/>
      <c r="J229" s="38"/>
      <c r="K229" s="38"/>
    </row>
    <row r="230" spans="1:11" ht="12.75">
      <c r="A230" s="43"/>
      <c r="B230" s="264"/>
      <c r="C230" s="43"/>
      <c r="D230" s="38"/>
      <c r="E230" s="38"/>
      <c r="F230" s="38"/>
      <c r="G230" s="38"/>
      <c r="H230" s="52"/>
      <c r="I230" s="265"/>
      <c r="J230" s="38"/>
      <c r="K230" s="38"/>
    </row>
    <row r="231" spans="1:11" ht="12.75">
      <c r="A231" s="43"/>
      <c r="B231" s="264"/>
      <c r="C231" s="43"/>
      <c r="D231" s="38"/>
      <c r="E231" s="38"/>
      <c r="F231" s="38"/>
      <c r="G231" s="38"/>
      <c r="H231" s="52"/>
      <c r="I231" s="265"/>
      <c r="J231" s="38"/>
      <c r="K231" s="38"/>
    </row>
    <row r="232" spans="1:11" ht="12.75">
      <c r="A232" s="43"/>
      <c r="B232" s="40"/>
      <c r="C232" s="40"/>
      <c r="D232" s="38"/>
      <c r="E232" s="38"/>
      <c r="F232" s="38"/>
      <c r="G232" s="38"/>
      <c r="H232" s="40"/>
      <c r="I232" s="38"/>
      <c r="J232" s="40"/>
      <c r="K232" s="65" t="s">
        <v>537</v>
      </c>
    </row>
    <row r="233" spans="1:11" ht="12.75">
      <c r="A233" s="43"/>
      <c r="B233" s="40"/>
      <c r="C233" s="40"/>
      <c r="D233" s="38"/>
      <c r="E233" s="38"/>
      <c r="F233" s="38"/>
      <c r="G233" s="38"/>
      <c r="H233" s="40"/>
      <c r="I233" s="38"/>
      <c r="J233" s="40"/>
      <c r="K233" s="38"/>
    </row>
    <row r="234" spans="1:11" ht="12.75">
      <c r="A234" s="43"/>
      <c r="B234" s="264" t="s">
        <v>97</v>
      </c>
      <c r="C234" s="43"/>
      <c r="D234" s="66" t="s">
        <v>394</v>
      </c>
      <c r="E234" s="38"/>
      <c r="F234" s="38"/>
      <c r="G234" s="38"/>
      <c r="H234" s="52"/>
      <c r="I234" s="62"/>
      <c r="J234" s="36"/>
      <c r="K234" s="312" t="str">
        <f>K3</f>
        <v>For the 12 months ended 12/31/2021</v>
      </c>
    </row>
    <row r="235" spans="1:11" ht="12.75">
      <c r="A235" s="43"/>
      <c r="B235" s="264"/>
      <c r="C235" s="43"/>
      <c r="D235" s="66" t="s">
        <v>395</v>
      </c>
      <c r="E235" s="38"/>
      <c r="F235" s="38"/>
      <c r="G235" s="38"/>
      <c r="H235" s="52"/>
      <c r="I235" s="313"/>
      <c r="J235" s="36"/>
      <c r="K235" s="38"/>
    </row>
    <row r="236" spans="1:11" ht="12.75">
      <c r="A236" s="43"/>
      <c r="B236" s="264"/>
      <c r="C236" s="43"/>
      <c r="D236" s="66" t="str">
        <f>+D177</f>
        <v>GridLiance High Plains LLC</v>
      </c>
      <c r="E236" s="38"/>
      <c r="F236" s="38"/>
      <c r="G236" s="38"/>
      <c r="H236" s="52"/>
      <c r="I236" s="313"/>
      <c r="J236" s="36"/>
      <c r="K236" s="38"/>
    </row>
    <row r="237" spans="1:11" ht="12.75">
      <c r="A237" s="1036"/>
      <c r="B237" s="1036"/>
      <c r="C237" s="1036"/>
      <c r="D237" s="1036"/>
      <c r="E237" s="1036"/>
      <c r="F237" s="1036"/>
      <c r="G237" s="1036"/>
      <c r="H237" s="1036"/>
      <c r="I237" s="1036"/>
      <c r="J237" s="1036"/>
      <c r="K237" s="1036"/>
    </row>
    <row r="238" spans="1:11" ht="12.75">
      <c r="A238" s="43"/>
      <c r="B238" s="264"/>
      <c r="C238" s="43"/>
      <c r="D238" s="38"/>
      <c r="E238" s="38"/>
      <c r="F238" s="38"/>
      <c r="G238" s="38"/>
      <c r="H238" s="52"/>
      <c r="I238" s="313"/>
      <c r="J238" s="36"/>
      <c r="K238" s="38"/>
    </row>
    <row r="239" spans="1:11" ht="12.75">
      <c r="A239" s="43"/>
      <c r="B239" s="52" t="s">
        <v>538</v>
      </c>
      <c r="C239" s="43"/>
      <c r="D239" s="38"/>
      <c r="E239" s="38"/>
      <c r="F239" s="38"/>
      <c r="G239" s="38"/>
      <c r="H239" s="52"/>
      <c r="I239" s="38"/>
      <c r="J239" s="52"/>
      <c r="K239" s="38"/>
    </row>
    <row r="240" spans="1:11" ht="12.75">
      <c r="A240" s="43"/>
      <c r="B240" s="314" t="s">
        <v>539</v>
      </c>
      <c r="C240" s="43"/>
      <c r="D240" s="38"/>
      <c r="E240" s="38"/>
      <c r="F240" s="38"/>
      <c r="G240" s="38"/>
      <c r="H240" s="52"/>
      <c r="I240" s="38"/>
      <c r="J240" s="52"/>
      <c r="K240" s="38"/>
    </row>
    <row r="241" spans="1:11" ht="12.75">
      <c r="A241" s="43" t="s">
        <v>381</v>
      </c>
      <c r="B241" s="52"/>
      <c r="C241" s="52"/>
      <c r="D241" s="38"/>
      <c r="E241" s="38"/>
      <c r="F241" s="38"/>
      <c r="G241" s="38"/>
      <c r="H241" s="52"/>
      <c r="I241" s="38"/>
      <c r="J241" s="52"/>
      <c r="K241" s="38"/>
    </row>
    <row r="242" spans="1:11" ht="13.5" thickBot="1">
      <c r="A242" s="46" t="s">
        <v>382</v>
      </c>
      <c r="B242" s="1037"/>
      <c r="C242" s="1037"/>
      <c r="D242" s="315"/>
      <c r="E242" s="315"/>
      <c r="F242" s="315"/>
      <c r="G242" s="315"/>
      <c r="H242" s="316"/>
      <c r="I242" s="315"/>
      <c r="J242" s="316"/>
      <c r="K242" s="315"/>
    </row>
    <row r="243" spans="1:11" ht="12.75">
      <c r="A243" s="316" t="s">
        <v>540</v>
      </c>
      <c r="B243" s="1027" t="s">
        <v>541</v>
      </c>
      <c r="C243" s="1027"/>
      <c r="D243" s="1027"/>
      <c r="E243" s="1027"/>
      <c r="F243" s="1027"/>
      <c r="G243" s="1027"/>
      <c r="H243" s="1027"/>
      <c r="I243" s="1027"/>
      <c r="J243" s="1027"/>
      <c r="K243" s="1027"/>
    </row>
    <row r="244" spans="1:11" ht="60" customHeight="1">
      <c r="A244" s="316" t="s">
        <v>542</v>
      </c>
      <c r="B244" s="1027" t="s">
        <v>543</v>
      </c>
      <c r="C244" s="1027"/>
      <c r="D244" s="1027"/>
      <c r="E244" s="1027"/>
      <c r="F244" s="1027"/>
      <c r="G244" s="1027"/>
      <c r="H244" s="1027"/>
      <c r="I244" s="1027"/>
      <c r="J244" s="1027"/>
      <c r="K244" s="1027"/>
    </row>
    <row r="245" spans="1:11" ht="12.75">
      <c r="A245" s="316" t="s">
        <v>251</v>
      </c>
      <c r="B245" s="1027" t="s">
        <v>544</v>
      </c>
      <c r="C245" s="1027"/>
      <c r="D245" s="1027"/>
      <c r="E245" s="1027"/>
      <c r="F245" s="1027"/>
      <c r="G245" s="1027"/>
      <c r="H245" s="1027"/>
      <c r="I245" s="1027"/>
      <c r="J245" s="1027"/>
      <c r="K245" s="1027"/>
    </row>
    <row r="246" spans="1:11" ht="29.25" customHeight="1">
      <c r="A246" s="316" t="s">
        <v>252</v>
      </c>
      <c r="B246" s="1027" t="s">
        <v>545</v>
      </c>
      <c r="C246" s="1027"/>
      <c r="D246" s="1027"/>
      <c r="E246" s="1027"/>
      <c r="F246" s="1027"/>
      <c r="G246" s="1027"/>
      <c r="H246" s="1027"/>
      <c r="I246" s="1027"/>
      <c r="J246" s="1027"/>
      <c r="K246" s="1027"/>
    </row>
    <row r="247" spans="1:11" ht="29.25" customHeight="1">
      <c r="A247" s="316" t="s">
        <v>253</v>
      </c>
      <c r="B247" s="1027" t="s">
        <v>546</v>
      </c>
      <c r="C247" s="1027"/>
      <c r="D247" s="1027"/>
      <c r="E247" s="1027"/>
      <c r="F247" s="1027"/>
      <c r="G247" s="1027"/>
      <c r="H247" s="1027"/>
      <c r="I247" s="1027"/>
      <c r="J247" s="1027"/>
      <c r="K247" s="1027"/>
    </row>
    <row r="248" spans="1:11" ht="30" customHeight="1">
      <c r="A248" s="316" t="s">
        <v>254</v>
      </c>
      <c r="B248" s="1027" t="s">
        <v>547</v>
      </c>
      <c r="C248" s="1027"/>
      <c r="D248" s="1027"/>
      <c r="E248" s="1027"/>
      <c r="F248" s="1027"/>
      <c r="G248" s="1027"/>
      <c r="H248" s="1027"/>
      <c r="I248" s="1027"/>
      <c r="J248" s="1027"/>
      <c r="K248" s="1027"/>
    </row>
    <row r="249" spans="1:11" ht="45.75" customHeight="1">
      <c r="A249" s="1027" t="s">
        <v>255</v>
      </c>
      <c r="B249" s="1027" t="s">
        <v>548</v>
      </c>
      <c r="C249" s="1027"/>
      <c r="D249" s="1027"/>
      <c r="E249" s="1027"/>
      <c r="F249" s="1027"/>
      <c r="G249" s="1027"/>
      <c r="H249" s="1027"/>
      <c r="I249" s="1027"/>
      <c r="J249" s="1027"/>
      <c r="K249" s="1027"/>
    </row>
    <row r="250" spans="1:11" ht="12.75">
      <c r="A250" s="1027"/>
      <c r="B250" s="317" t="s">
        <v>549</v>
      </c>
      <c r="C250" s="317" t="s">
        <v>550</v>
      </c>
      <c r="D250" s="318" t="s">
        <v>551</v>
      </c>
      <c r="E250" s="317" t="s">
        <v>552</v>
      </c>
      <c r="F250" s="317"/>
      <c r="G250" s="317"/>
      <c r="H250" s="317"/>
      <c r="I250" s="317"/>
      <c r="J250" s="317"/>
      <c r="K250" s="317"/>
    </row>
    <row r="251" spans="1:11" ht="12.75">
      <c r="A251" s="1027"/>
      <c r="B251" s="317"/>
      <c r="C251" s="317" t="s">
        <v>553</v>
      </c>
      <c r="D251" s="318" t="s">
        <v>551</v>
      </c>
      <c r="E251" s="317" t="s">
        <v>554</v>
      </c>
      <c r="F251" s="317"/>
      <c r="G251" s="317"/>
      <c r="H251" s="317"/>
      <c r="I251" s="317"/>
      <c r="J251" s="317"/>
      <c r="K251" s="317"/>
    </row>
    <row r="252" spans="1:11" ht="12.75">
      <c r="A252" s="1027"/>
      <c r="B252" s="317"/>
      <c r="C252" s="317" t="s">
        <v>555</v>
      </c>
      <c r="D252" s="318" t="s">
        <v>551</v>
      </c>
      <c r="E252" s="317" t="s">
        <v>556</v>
      </c>
      <c r="F252" s="317"/>
      <c r="G252" s="317"/>
      <c r="H252" s="317"/>
      <c r="I252" s="317"/>
      <c r="J252" s="317"/>
      <c r="K252" s="317"/>
    </row>
    <row r="253" spans="1:11" ht="12.75">
      <c r="A253" s="1027"/>
      <c r="B253" s="317"/>
      <c r="C253" s="317"/>
      <c r="D253" s="319"/>
      <c r="E253" s="317"/>
      <c r="F253" s="317"/>
      <c r="G253" s="317"/>
      <c r="H253" s="317"/>
      <c r="I253" s="317"/>
      <c r="J253" s="317"/>
      <c r="K253" s="317"/>
    </row>
    <row r="254" spans="1:11" ht="19.5" customHeight="1">
      <c r="A254" s="316" t="s">
        <v>256</v>
      </c>
      <c r="B254" s="1027" t="s">
        <v>557</v>
      </c>
      <c r="C254" s="1027"/>
      <c r="D254" s="1027"/>
      <c r="E254" s="1027"/>
      <c r="F254" s="1027"/>
      <c r="G254" s="1027"/>
      <c r="H254" s="1027"/>
      <c r="I254" s="1027"/>
      <c r="J254" s="1027"/>
      <c r="K254" s="1027"/>
    </row>
    <row r="255" spans="1:11" ht="31.5" customHeight="1">
      <c r="A255" s="316" t="s">
        <v>257</v>
      </c>
      <c r="B255" s="1027" t="s">
        <v>558</v>
      </c>
      <c r="C255" s="1027"/>
      <c r="D255" s="1027"/>
      <c r="E255" s="1027"/>
      <c r="F255" s="1027"/>
      <c r="G255" s="1027"/>
      <c r="H255" s="1027"/>
      <c r="I255" s="1027"/>
      <c r="J255" s="1027"/>
      <c r="K255" s="1027"/>
    </row>
    <row r="256" spans="1:11" ht="12.75">
      <c r="A256" s="316" t="s">
        <v>258</v>
      </c>
      <c r="B256" s="1027" t="s">
        <v>559</v>
      </c>
      <c r="C256" s="1027"/>
      <c r="D256" s="1027"/>
      <c r="E256" s="1027"/>
      <c r="F256" s="1027"/>
      <c r="G256" s="1027"/>
      <c r="H256" s="1027"/>
      <c r="I256" s="1027"/>
      <c r="J256" s="1027"/>
      <c r="K256" s="1027"/>
    </row>
    <row r="257" spans="1:11" ht="21" customHeight="1">
      <c r="A257" s="316" t="s">
        <v>560</v>
      </c>
      <c r="B257" s="1027" t="s">
        <v>561</v>
      </c>
      <c r="C257" s="1027"/>
      <c r="D257" s="1027"/>
      <c r="E257" s="1027"/>
      <c r="F257" s="1027"/>
      <c r="G257" s="1027"/>
      <c r="H257" s="1027"/>
      <c r="I257" s="1027"/>
      <c r="J257" s="1027"/>
      <c r="K257" s="1027"/>
    </row>
    <row r="258" spans="1:11" ht="12.75">
      <c r="A258" s="316" t="s">
        <v>562</v>
      </c>
      <c r="B258" s="1027" t="s">
        <v>563</v>
      </c>
      <c r="C258" s="1027"/>
      <c r="D258" s="1027"/>
      <c r="E258" s="1027"/>
      <c r="F258" s="1027"/>
      <c r="G258" s="1027"/>
      <c r="H258" s="1027"/>
      <c r="I258" s="1027"/>
      <c r="J258" s="1027"/>
      <c r="K258" s="1027"/>
    </row>
    <row r="259" spans="1:11" ht="12.75">
      <c r="A259" s="316" t="s">
        <v>564</v>
      </c>
      <c r="B259" s="1027" t="s">
        <v>565</v>
      </c>
      <c r="C259" s="1027"/>
      <c r="D259" s="1027"/>
      <c r="E259" s="1027"/>
      <c r="F259" s="1027"/>
      <c r="G259" s="1027"/>
      <c r="H259" s="1027"/>
      <c r="I259" s="1027"/>
      <c r="J259" s="1027"/>
      <c r="K259" s="1027"/>
    </row>
    <row r="260" spans="1:11" ht="12.75">
      <c r="A260" s="316" t="s">
        <v>566</v>
      </c>
      <c r="B260" s="1027" t="s">
        <v>567</v>
      </c>
      <c r="C260" s="1027"/>
      <c r="D260" s="1027"/>
      <c r="E260" s="1027"/>
      <c r="F260" s="1027"/>
      <c r="G260" s="1027"/>
      <c r="H260" s="1027"/>
      <c r="I260" s="1027"/>
      <c r="J260" s="1027"/>
      <c r="K260" s="1027"/>
    </row>
    <row r="261" spans="1:11" ht="33.75" customHeight="1">
      <c r="A261" s="316" t="s">
        <v>568</v>
      </c>
      <c r="B261" s="1028" t="s">
        <v>569</v>
      </c>
      <c r="C261" s="1029"/>
      <c r="D261" s="1029"/>
      <c r="E261" s="1029"/>
      <c r="F261" s="1029"/>
      <c r="G261" s="1029"/>
      <c r="H261" s="1029"/>
      <c r="I261" s="1029"/>
      <c r="J261" s="1029"/>
      <c r="K261" s="1029"/>
    </row>
    <row r="262" spans="1:11" ht="12.75">
      <c r="A262" s="320" t="s">
        <v>570</v>
      </c>
      <c r="B262" s="1030" t="s">
        <v>541</v>
      </c>
      <c r="C262" s="1031"/>
      <c r="D262" s="1031"/>
      <c r="E262" s="1031"/>
      <c r="F262" s="1031"/>
      <c r="G262" s="1031"/>
      <c r="H262" s="1031"/>
      <c r="I262" s="1031"/>
      <c r="J262" s="1031"/>
      <c r="K262" s="1031"/>
    </row>
    <row r="263" spans="1:11" ht="44.25" customHeight="1">
      <c r="A263" s="321" t="s">
        <v>571</v>
      </c>
      <c r="B263" s="1032" t="s">
        <v>572</v>
      </c>
      <c r="C263" s="1032"/>
      <c r="D263" s="1032"/>
      <c r="E263" s="1032"/>
      <c r="F263" s="1032"/>
      <c r="G263" s="1032"/>
      <c r="H263" s="1032"/>
      <c r="I263" s="1032"/>
      <c r="J263" s="1032"/>
      <c r="K263" s="1032"/>
    </row>
    <row r="264" spans="1:11" ht="26.45" customHeight="1">
      <c r="A264" s="321" t="s">
        <v>573</v>
      </c>
      <c r="B264" s="1033" t="s">
        <v>574</v>
      </c>
      <c r="C264" s="1033"/>
      <c r="D264" s="1033"/>
      <c r="E264" s="1033"/>
      <c r="F264" s="1033"/>
      <c r="G264" s="1033"/>
      <c r="H264" s="1033"/>
      <c r="I264" s="1033"/>
      <c r="J264" s="1033"/>
      <c r="K264" s="1033"/>
    </row>
    <row r="265" spans="1:11" ht="18.75" customHeight="1">
      <c r="A265" s="321" t="s">
        <v>575</v>
      </c>
      <c r="B265" s="1034" t="s">
        <v>576</v>
      </c>
      <c r="C265" s="1034"/>
      <c r="D265" s="1034"/>
      <c r="E265" s="1034"/>
      <c r="F265" s="1034"/>
      <c r="G265" s="1034"/>
      <c r="H265" s="1034"/>
      <c r="I265" s="1034"/>
      <c r="J265" s="1034"/>
      <c r="K265" s="1034"/>
    </row>
    <row r="266" spans="1:11" s="73" customFormat="1" ht="28.5" customHeight="1">
      <c r="A266" s="321" t="s">
        <v>577</v>
      </c>
      <c r="B266" s="1026" t="s">
        <v>578</v>
      </c>
      <c r="C266" s="1026"/>
      <c r="D266" s="1026"/>
      <c r="E266" s="1026"/>
      <c r="F266" s="1026"/>
      <c r="G266" s="1026"/>
      <c r="H266" s="1026"/>
      <c r="I266" s="1026"/>
      <c r="J266" s="1026"/>
      <c r="K266" s="1026"/>
    </row>
    <row r="267" spans="1:11" s="73" customFormat="1" ht="12.75">
      <c r="A267" s="321" t="s">
        <v>579</v>
      </c>
      <c r="B267" s="322" t="s">
        <v>580</v>
      </c>
      <c r="C267" s="322"/>
      <c r="D267" s="322"/>
      <c r="E267" s="322"/>
      <c r="F267" s="322"/>
      <c r="G267" s="322"/>
      <c r="H267" s="317"/>
      <c r="I267" s="323"/>
      <c r="J267" s="324"/>
      <c r="K267" s="324"/>
    </row>
    <row r="268" spans="1:11" s="73" customFormat="1" ht="12.75">
      <c r="A268" s="325" t="s">
        <v>581</v>
      </c>
      <c r="B268" s="325" t="s">
        <v>582</v>
      </c>
      <c r="C268" s="325"/>
      <c r="D268" s="325"/>
      <c r="E268" s="325"/>
      <c r="F268" s="325"/>
      <c r="G268" s="325"/>
      <c r="H268" s="325"/>
      <c r="I268" s="325"/>
      <c r="J268" s="325"/>
      <c r="K268" s="325"/>
    </row>
    <row r="269" spans="1:2" ht="12.75">
      <c r="A269" s="1" t="s">
        <v>583</v>
      </c>
      <c r="B269" s="1" t="s">
        <v>584</v>
      </c>
    </row>
    <row r="270" spans="1:2" ht="15">
      <c r="A270" s="326" t="s">
        <v>585</v>
      </c>
      <c r="B270" s="1" t="s">
        <v>586</v>
      </c>
    </row>
  </sheetData>
  <mergeCells count="26">
    <mergeCell ref="A249:A253"/>
    <mergeCell ref="B249:K249"/>
    <mergeCell ref="A57:K57"/>
    <mergeCell ref="A114:K114"/>
    <mergeCell ref="A178:K178"/>
    <mergeCell ref="A237:K237"/>
    <mergeCell ref="B242:C242"/>
    <mergeCell ref="B243:K243"/>
    <mergeCell ref="B259:K259"/>
    <mergeCell ref="B244:K244"/>
    <mergeCell ref="B245:K245"/>
    <mergeCell ref="B246:K246"/>
    <mergeCell ref="B247:K247"/>
    <mergeCell ref="B248:K248"/>
    <mergeCell ref="B254:K254"/>
    <mergeCell ref="B255:K255"/>
    <mergeCell ref="B256:K256"/>
    <mergeCell ref="B257:K257"/>
    <mergeCell ref="B258:K258"/>
    <mergeCell ref="B266:K266"/>
    <mergeCell ref="B260:K260"/>
    <mergeCell ref="B261:K261"/>
    <mergeCell ref="B262:K262"/>
    <mergeCell ref="B263:K263"/>
    <mergeCell ref="B264:K264"/>
    <mergeCell ref="B265:K265"/>
  </mergeCells>
  <pageMargins left="0.25" right="0.25" top="0.75" bottom="0.75" header="0.3" footer="0.3"/>
  <pageSetup fitToHeight="0" orientation="landscape" scale="55" r:id="rId1"/>
  <rowBreaks count="4" manualBreakCount="4">
    <brk id="50" max="10" man="1"/>
    <brk id="108" max="16383" man="1"/>
    <brk id="171" max="10" man="1"/>
    <brk id="230"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76A4C-0A6C-49FB-85EC-D698BDACE965}">
  <dimension ref="A1:U109"/>
  <sheetViews>
    <sheetView view="pageBreakPreview" zoomScale="80" zoomScaleNormal="65" zoomScaleSheetLayoutView="80" workbookViewId="0" topLeftCell="A1"/>
  </sheetViews>
  <sheetFormatPr defaultColWidth="11.4255555555556" defaultRowHeight="13.2"/>
  <cols>
    <col min="1" max="1" width="7.66666666666667" style="1" customWidth="1"/>
    <col min="2" max="2" width="1.88888888888889" style="1" customWidth="1"/>
    <col min="3" max="3" width="46.3333333333333" style="1" customWidth="1"/>
    <col min="4" max="4" width="17.6666666666667" style="1" customWidth="1"/>
    <col min="5" max="5" width="22.5555555555556" style="1" customWidth="1"/>
    <col min="6" max="6" width="16.8888888888889" style="1" customWidth="1"/>
    <col min="7" max="7" width="18.5555555555556" style="1" customWidth="1"/>
    <col min="8" max="8" width="21" style="1" customWidth="1"/>
    <col min="9" max="9" width="17.6666666666667" style="1" customWidth="1"/>
    <col min="10" max="10" width="18.5555555555556" style="1" customWidth="1"/>
    <col min="11" max="11" width="17.4444444444444" style="1" customWidth="1"/>
    <col min="12" max="13" width="20.3333333333333" style="1" customWidth="1"/>
    <col min="14" max="15" width="18.5555555555556" style="1" customWidth="1"/>
    <col min="16" max="16" width="16.4444444444444" style="1" customWidth="1"/>
    <col min="17" max="17" width="17.8888888888889" style="1" customWidth="1"/>
    <col min="18" max="18" width="12" style="1" customWidth="1"/>
    <col min="19" max="19" width="16.6666666666667" style="1" customWidth="1"/>
    <col min="20" max="20" width="14.5555555555556" style="5" bestFit="1" customWidth="1"/>
    <col min="21" max="16384" width="11.4444444444444" style="1"/>
  </cols>
  <sheetData>
    <row r="1" spans="17:17" ht="12.75">
      <c r="Q1" s="209"/>
    </row>
    <row r="2" spans="17:17" ht="12.75">
      <c r="Q2" s="209"/>
    </row>
    <row r="4" spans="17:17" ht="12.75">
      <c r="Q4" s="209"/>
    </row>
    <row r="5" spans="4:21" ht="12.75">
      <c r="D5" s="157"/>
      <c r="E5" s="157"/>
      <c r="F5" s="157"/>
      <c r="G5" s="6" t="s">
        <v>587</v>
      </c>
      <c r="H5" s="157"/>
      <c r="I5" s="157"/>
      <c r="J5" s="157"/>
      <c r="K5" s="157"/>
      <c r="L5" s="62"/>
      <c r="M5" s="210"/>
      <c r="N5" s="210"/>
      <c r="O5" s="210"/>
      <c r="P5" s="210"/>
      <c r="Q5" s="210"/>
      <c r="R5" s="161"/>
      <c r="S5" s="161" t="s">
        <v>588</v>
      </c>
      <c r="T5" s="327"/>
      <c r="U5" s="161"/>
    </row>
    <row r="6" spans="4:21" ht="12.75">
      <c r="D6" s="157"/>
      <c r="E6" s="160" t="s">
        <v>30</v>
      </c>
      <c r="F6" s="160"/>
      <c r="G6" s="6" t="s">
        <v>589</v>
      </c>
      <c r="H6" s="160"/>
      <c r="I6" s="160"/>
      <c r="J6" s="160"/>
      <c r="K6" s="157"/>
      <c r="P6" s="161"/>
      <c r="Q6" s="157"/>
      <c r="R6" s="161"/>
      <c r="S6" s="212"/>
      <c r="T6" s="327"/>
      <c r="U6" s="161"/>
    </row>
    <row r="7" spans="3:21" ht="12.75">
      <c r="C7" s="161"/>
      <c r="D7" s="161"/>
      <c r="E7" s="161"/>
      <c r="F7" s="161"/>
      <c r="G7" s="37" t="str">
        <f>+'Attachment H'!D5</f>
        <v>GridLiance High Plains LLC</v>
      </c>
      <c r="H7" s="161"/>
      <c r="I7" s="161"/>
      <c r="J7" s="161"/>
      <c r="K7" s="161"/>
      <c r="P7" s="161"/>
      <c r="Q7" s="161"/>
      <c r="R7" s="161"/>
      <c r="S7" s="211"/>
      <c r="T7" s="327"/>
      <c r="U7" s="161"/>
    </row>
    <row r="8" spans="1:21" ht="12.75">
      <c r="A8" s="6"/>
      <c r="C8" s="161"/>
      <c r="D8" s="161"/>
      <c r="E8" s="161"/>
      <c r="F8" s="161"/>
      <c r="H8" s="161"/>
      <c r="I8" s="161"/>
      <c r="J8" s="161"/>
      <c r="K8" s="161"/>
      <c r="L8" s="161"/>
      <c r="M8" s="161"/>
      <c r="N8" s="161"/>
      <c r="O8" s="161"/>
      <c r="P8" s="161"/>
      <c r="Q8" s="161"/>
      <c r="R8" s="161"/>
      <c r="S8" s="211"/>
      <c r="T8" s="327"/>
      <c r="U8" s="161"/>
    </row>
    <row r="9" spans="1:21" ht="12.75">
      <c r="A9" s="6"/>
      <c r="C9" s="161"/>
      <c r="D9" s="161"/>
      <c r="E9" s="161"/>
      <c r="F9" s="161"/>
      <c r="G9" s="213"/>
      <c r="H9" s="161"/>
      <c r="I9" s="161"/>
      <c r="J9" s="161"/>
      <c r="K9" s="161"/>
      <c r="L9" s="161"/>
      <c r="M9" s="161"/>
      <c r="N9" s="161"/>
      <c r="O9" s="161"/>
      <c r="P9" s="161"/>
      <c r="Q9" s="161"/>
      <c r="R9" s="161"/>
      <c r="S9" s="211"/>
      <c r="T9" s="327"/>
      <c r="U9" s="161"/>
    </row>
    <row r="10" spans="1:21" ht="12.75">
      <c r="A10" s="6"/>
      <c r="C10" s="161" t="s">
        <v>308</v>
      </c>
      <c r="D10" s="161"/>
      <c r="E10" s="161"/>
      <c r="F10" s="161"/>
      <c r="G10" s="213"/>
      <c r="H10" s="161"/>
      <c r="I10" s="161"/>
      <c r="J10" s="161"/>
      <c r="K10" s="161"/>
      <c r="L10" s="161"/>
      <c r="M10" s="161"/>
      <c r="N10" s="161"/>
      <c r="O10" s="161"/>
      <c r="P10" s="161"/>
      <c r="Q10" s="161"/>
      <c r="R10" s="161"/>
      <c r="S10" s="211"/>
      <c r="T10" s="327"/>
      <c r="U10" s="161"/>
    </row>
    <row r="11" spans="1:21" ht="12.75">
      <c r="A11" s="6"/>
      <c r="C11" s="161"/>
      <c r="D11" s="161"/>
      <c r="E11" s="161"/>
      <c r="F11" s="161"/>
      <c r="G11" s="213"/>
      <c r="L11" s="161"/>
      <c r="M11" s="161"/>
      <c r="N11" s="161"/>
      <c r="O11" s="161"/>
      <c r="P11" s="161"/>
      <c r="Q11" s="161"/>
      <c r="R11" s="161"/>
      <c r="S11" s="161"/>
      <c r="U11" s="161"/>
    </row>
    <row r="12" spans="1:21" ht="12.75">
      <c r="A12" s="6"/>
      <c r="C12" s="161"/>
      <c r="D12" s="161"/>
      <c r="E12" s="161"/>
      <c r="F12" s="161"/>
      <c r="G12" s="161"/>
      <c r="L12" s="160"/>
      <c r="M12" s="160"/>
      <c r="N12" s="160"/>
      <c r="O12" s="160"/>
      <c r="P12" s="161"/>
      <c r="Q12" s="161"/>
      <c r="R12" s="161"/>
      <c r="S12" s="161"/>
      <c r="U12" s="161"/>
    </row>
    <row r="13" spans="3:21" ht="12.75">
      <c r="C13" s="120" t="s">
        <v>27</v>
      </c>
      <c r="D13" s="120"/>
      <c r="E13" s="120" t="s">
        <v>28</v>
      </c>
      <c r="F13" s="120"/>
      <c r="I13" s="120" t="s">
        <v>29</v>
      </c>
      <c r="L13" s="214" t="s">
        <v>31</v>
      </c>
      <c r="M13" s="214"/>
      <c r="N13" s="214"/>
      <c r="O13" s="214"/>
      <c r="P13" s="160"/>
      <c r="Q13" s="214"/>
      <c r="R13" s="160"/>
      <c r="S13" s="214"/>
      <c r="U13" s="161"/>
    </row>
    <row r="14" spans="3:21" ht="12.75">
      <c r="C14" s="161"/>
      <c r="D14" s="161"/>
      <c r="E14" s="215" t="s">
        <v>312</v>
      </c>
      <c r="F14" s="215"/>
      <c r="I14" s="160"/>
      <c r="P14" s="160"/>
      <c r="R14" s="160"/>
      <c r="S14" s="120"/>
      <c r="T14" s="114"/>
      <c r="U14" s="161"/>
    </row>
    <row r="15" spans="1:21" ht="12.75">
      <c r="A15" s="6" t="s">
        <v>35</v>
      </c>
      <c r="C15" s="161"/>
      <c r="D15" s="161"/>
      <c r="E15" s="125" t="s">
        <v>313</v>
      </c>
      <c r="F15" s="125"/>
      <c r="I15" s="216" t="s">
        <v>314</v>
      </c>
      <c r="L15" s="216" t="s">
        <v>315</v>
      </c>
      <c r="M15" s="216"/>
      <c r="N15" s="216"/>
      <c r="O15" s="216"/>
      <c r="P15" s="160"/>
      <c r="R15" s="161"/>
      <c r="S15" s="217"/>
      <c r="T15" s="114"/>
      <c r="U15" s="161"/>
    </row>
    <row r="16" spans="1:21" ht="12.75">
      <c r="A16" s="6" t="s">
        <v>40</v>
      </c>
      <c r="C16" s="163"/>
      <c r="D16" s="163"/>
      <c r="E16" s="160"/>
      <c r="F16" s="160"/>
      <c r="I16" s="160"/>
      <c r="L16" s="160"/>
      <c r="M16" s="160"/>
      <c r="N16" s="160"/>
      <c r="O16" s="160"/>
      <c r="P16" s="160"/>
      <c r="Q16" s="160"/>
      <c r="R16" s="161"/>
      <c r="S16" s="160"/>
      <c r="U16" s="161"/>
    </row>
    <row r="17" spans="1:21" ht="12.75">
      <c r="A17" s="218"/>
      <c r="C17" s="161"/>
      <c r="D17" s="161"/>
      <c r="E17" s="160"/>
      <c r="F17" s="160"/>
      <c r="I17" s="160"/>
      <c r="L17" s="160"/>
      <c r="M17" s="160"/>
      <c r="N17" s="160"/>
      <c r="O17" s="160"/>
      <c r="P17" s="160"/>
      <c r="Q17" s="160"/>
      <c r="R17" s="161"/>
      <c r="S17" s="160"/>
      <c r="U17" s="161"/>
    </row>
    <row r="18" spans="1:21" ht="12.75">
      <c r="A18" s="219">
        <v>1</v>
      </c>
      <c r="C18" s="161" t="s">
        <v>317</v>
      </c>
      <c r="D18" s="161"/>
      <c r="E18" s="220" t="s">
        <v>318</v>
      </c>
      <c r="F18" s="219"/>
      <c r="I18" s="5">
        <f>+'Attachment H'!I64+'Attachment H'!I93</f>
        <v>0</v>
      </c>
      <c r="P18" s="160"/>
      <c r="Q18" s="160"/>
      <c r="R18" s="161"/>
      <c r="S18" s="160"/>
      <c r="U18" s="161"/>
    </row>
    <row r="19" spans="1:21" ht="12.75">
      <c r="A19" s="219">
        <v>2</v>
      </c>
      <c r="C19" s="161" t="s">
        <v>319</v>
      </c>
      <c r="D19" s="161"/>
      <c r="E19" s="220" t="s">
        <v>320</v>
      </c>
      <c r="F19" s="219"/>
      <c r="I19" s="5">
        <f>+'Attachment H'!I80+'Attachment H'!I93+'Attachment H'!I95</f>
        <v>0</v>
      </c>
      <c r="P19" s="160"/>
      <c r="Q19" s="160"/>
      <c r="R19" s="161"/>
      <c r="S19" s="160"/>
      <c r="U19" s="161"/>
    </row>
    <row r="20" spans="1:21" ht="12.75">
      <c r="A20" s="219"/>
      <c r="E20" s="220"/>
      <c r="F20" s="219"/>
      <c r="P20" s="160"/>
      <c r="Q20" s="160"/>
      <c r="R20" s="161"/>
      <c r="S20" s="160"/>
      <c r="U20" s="161"/>
    </row>
    <row r="21" spans="1:21" ht="12.75">
      <c r="A21" s="219"/>
      <c r="C21" s="161" t="s">
        <v>321</v>
      </c>
      <c r="D21" s="161"/>
      <c r="E21" s="220"/>
      <c r="F21" s="219"/>
      <c r="I21" s="160"/>
      <c r="L21" s="160"/>
      <c r="M21" s="160"/>
      <c r="N21" s="160"/>
      <c r="O21" s="160"/>
      <c r="P21" s="160"/>
      <c r="Q21" s="160"/>
      <c r="R21" s="160"/>
      <c r="S21" s="160"/>
      <c r="U21" s="161"/>
    </row>
    <row r="22" spans="1:21" ht="12.75">
      <c r="A22" s="219">
        <v>3</v>
      </c>
      <c r="C22" s="161" t="s">
        <v>322</v>
      </c>
      <c r="D22" s="161"/>
      <c r="E22" s="220" t="s">
        <v>323</v>
      </c>
      <c r="F22" s="219"/>
      <c r="I22" s="221">
        <f>+'Attachment H'!I134</f>
        <v>0</v>
      </c>
      <c r="P22" s="160"/>
      <c r="Q22" s="160"/>
      <c r="R22" s="160"/>
      <c r="S22" s="160"/>
      <c r="U22" s="161"/>
    </row>
    <row r="23" spans="1:21" ht="12.75">
      <c r="A23" s="219">
        <v>4</v>
      </c>
      <c r="C23" s="161" t="s">
        <v>324</v>
      </c>
      <c r="D23" s="161"/>
      <c r="E23" s="220" t="s">
        <v>325</v>
      </c>
      <c r="F23" s="219"/>
      <c r="I23" s="25">
        <f>IF(I18=0,0,I22/I18)</f>
        <v>0</v>
      </c>
      <c r="L23" s="328">
        <f>I23</f>
        <v>0</v>
      </c>
      <c r="M23" s="223"/>
      <c r="N23" s="223"/>
      <c r="O23" s="223"/>
      <c r="P23" s="160"/>
      <c r="Q23" s="224"/>
      <c r="R23" s="225"/>
      <c r="S23" s="226"/>
      <c r="U23" s="161"/>
    </row>
    <row r="24" spans="1:21" ht="12.75">
      <c r="A24" s="219"/>
      <c r="C24" s="161"/>
      <c r="D24" s="161"/>
      <c r="E24" s="220"/>
      <c r="F24" s="219"/>
      <c r="I24" s="227"/>
      <c r="L24" s="223"/>
      <c r="M24" s="223"/>
      <c r="N24" s="223"/>
      <c r="O24" s="223"/>
      <c r="P24" s="160"/>
      <c r="Q24" s="224"/>
      <c r="R24" s="225"/>
      <c r="S24" s="226"/>
      <c r="U24" s="161"/>
    </row>
    <row r="25" spans="1:21" ht="12.75">
      <c r="A25" s="214"/>
      <c r="C25" s="161" t="s">
        <v>326</v>
      </c>
      <c r="D25" s="161"/>
      <c r="E25" s="118"/>
      <c r="F25" s="4"/>
      <c r="I25" s="160"/>
      <c r="L25" s="160"/>
      <c r="M25" s="160"/>
      <c r="N25" s="160"/>
      <c r="O25" s="160"/>
      <c r="P25" s="160"/>
      <c r="Q25" s="224"/>
      <c r="R25" s="225"/>
      <c r="S25" s="226"/>
      <c r="U25" s="161"/>
    </row>
    <row r="26" spans="1:21" ht="12.75">
      <c r="A26" s="214" t="s">
        <v>302</v>
      </c>
      <c r="C26" s="161" t="s">
        <v>327</v>
      </c>
      <c r="D26" s="161"/>
      <c r="E26" s="220" t="s">
        <v>328</v>
      </c>
      <c r="F26" s="219"/>
      <c r="I26" s="221">
        <f>+'Attachment H'!I138+'Attachment H'!I139</f>
        <v>0</v>
      </c>
      <c r="P26" s="160"/>
      <c r="Q26" s="224"/>
      <c r="R26" s="225"/>
      <c r="S26" s="226"/>
      <c r="U26" s="161"/>
    </row>
    <row r="27" spans="1:21" ht="12.75">
      <c r="A27" s="214" t="s">
        <v>329</v>
      </c>
      <c r="C27" s="161" t="s">
        <v>330</v>
      </c>
      <c r="D27" s="161"/>
      <c r="E27" s="220" t="s">
        <v>331</v>
      </c>
      <c r="F27" s="219"/>
      <c r="I27" s="25">
        <f>IF(I26=0,0,I26/I18)</f>
        <v>0</v>
      </c>
      <c r="J27" s="25"/>
      <c r="K27" s="25"/>
      <c r="L27" s="228">
        <f>I27</f>
        <v>0</v>
      </c>
      <c r="M27" s="223"/>
      <c r="N27" s="223"/>
      <c r="O27" s="223"/>
      <c r="P27" s="160"/>
      <c r="Q27" s="224"/>
      <c r="R27" s="225"/>
      <c r="S27" s="226"/>
      <c r="U27" s="161"/>
    </row>
    <row r="28" spans="1:21" ht="12.75">
      <c r="A28" s="219"/>
      <c r="C28" s="161"/>
      <c r="D28" s="161"/>
      <c r="E28" s="220"/>
      <c r="F28" s="219"/>
      <c r="I28" s="25"/>
      <c r="J28" s="25"/>
      <c r="K28" s="25"/>
      <c r="L28" s="228"/>
      <c r="M28" s="223"/>
      <c r="N28" s="223"/>
      <c r="O28" s="223"/>
      <c r="P28" s="160"/>
      <c r="Q28" s="224"/>
      <c r="R28" s="225"/>
      <c r="S28" s="226"/>
      <c r="U28" s="161"/>
    </row>
    <row r="29" spans="1:21" ht="12.75">
      <c r="A29" s="214"/>
      <c r="C29" s="161" t="s">
        <v>332</v>
      </c>
      <c r="D29" s="161"/>
      <c r="E29" s="118"/>
      <c r="F29" s="4"/>
      <c r="I29" s="25"/>
      <c r="J29" s="25"/>
      <c r="K29" s="25"/>
      <c r="L29" s="25"/>
      <c r="M29" s="160"/>
      <c r="N29" s="160"/>
      <c r="O29" s="160"/>
      <c r="P29" s="160"/>
      <c r="Q29" s="160"/>
      <c r="R29" s="160"/>
      <c r="S29" s="160"/>
      <c r="U29" s="161"/>
    </row>
    <row r="30" spans="1:21" ht="12.75">
      <c r="A30" s="214" t="s">
        <v>333</v>
      </c>
      <c r="C30" s="161" t="s">
        <v>334</v>
      </c>
      <c r="D30" s="161"/>
      <c r="E30" s="220" t="s">
        <v>335</v>
      </c>
      <c r="F30" s="219"/>
      <c r="I30" s="25">
        <f>+'Attachment H'!I152</f>
        <v>0</v>
      </c>
      <c r="J30" s="25"/>
      <c r="K30" s="25"/>
      <c r="L30" s="25"/>
      <c r="P30" s="160"/>
      <c r="Q30" s="217"/>
      <c r="R30" s="160"/>
      <c r="S30" s="219"/>
      <c r="T30" s="114"/>
      <c r="U30" s="161"/>
    </row>
    <row r="31" spans="1:21" ht="12.75">
      <c r="A31" s="214" t="s">
        <v>336</v>
      </c>
      <c r="C31" s="161" t="s">
        <v>337</v>
      </c>
      <c r="D31" s="161"/>
      <c r="E31" s="220" t="s">
        <v>338</v>
      </c>
      <c r="F31" s="219"/>
      <c r="I31" s="25">
        <f>IF(I30=0,0,I30/I18)</f>
        <v>0</v>
      </c>
      <c r="J31" s="25"/>
      <c r="K31" s="25"/>
      <c r="L31" s="228">
        <f>I31</f>
        <v>0</v>
      </c>
      <c r="M31" s="223"/>
      <c r="N31" s="223"/>
      <c r="O31" s="223"/>
      <c r="P31" s="160"/>
      <c r="Q31" s="224"/>
      <c r="R31" s="160"/>
      <c r="S31" s="226"/>
      <c r="T31" s="114"/>
      <c r="U31" s="161"/>
    </row>
    <row r="32" spans="1:21" ht="12.75">
      <c r="A32" s="214"/>
      <c r="C32" s="161"/>
      <c r="D32" s="161"/>
      <c r="E32" s="220"/>
      <c r="F32" s="219"/>
      <c r="I32" s="160"/>
      <c r="L32" s="160"/>
      <c r="M32" s="160"/>
      <c r="N32" s="160"/>
      <c r="O32" s="160"/>
      <c r="P32" s="160"/>
      <c r="U32" s="161"/>
    </row>
    <row r="33" spans="1:21" ht="12.75">
      <c r="A33" s="214" t="s">
        <v>339</v>
      </c>
      <c r="C33" s="161" t="s">
        <v>340</v>
      </c>
      <c r="D33" s="161"/>
      <c r="E33" s="220" t="s">
        <v>341</v>
      </c>
      <c r="F33" s="219"/>
      <c r="I33" s="5">
        <f>-'Attachment H'!I19</f>
        <v>0</v>
      </c>
      <c r="L33" s="160"/>
      <c r="M33" s="160"/>
      <c r="N33" s="160"/>
      <c r="O33" s="160"/>
      <c r="P33" s="160"/>
      <c r="U33" s="161"/>
    </row>
    <row r="34" spans="1:21" ht="12.75">
      <c r="A34" s="214" t="s">
        <v>342</v>
      </c>
      <c r="C34" s="161" t="s">
        <v>343</v>
      </c>
      <c r="D34" s="161"/>
      <c r="E34" s="220" t="s">
        <v>344</v>
      </c>
      <c r="F34" s="219"/>
      <c r="I34" s="53">
        <f>IF(L18=0,0,I33/I18)</f>
        <v>0</v>
      </c>
      <c r="L34" s="25">
        <f>+I34</f>
        <v>0</v>
      </c>
      <c r="M34" s="160"/>
      <c r="N34" s="160"/>
      <c r="O34" s="160"/>
      <c r="P34" s="160"/>
      <c r="U34" s="161"/>
    </row>
    <row r="35" spans="1:21" ht="12.75">
      <c r="A35" s="214"/>
      <c r="C35" s="161"/>
      <c r="D35" s="161"/>
      <c r="E35" s="220"/>
      <c r="F35" s="219"/>
      <c r="I35" s="160"/>
      <c r="L35" s="160"/>
      <c r="M35" s="160"/>
      <c r="N35" s="160"/>
      <c r="O35" s="160"/>
      <c r="P35" s="160"/>
      <c r="U35" s="161"/>
    </row>
    <row r="36" spans="1:21" ht="12.75">
      <c r="A36" s="229" t="s">
        <v>345</v>
      </c>
      <c r="B36" s="126"/>
      <c r="C36" s="163" t="s">
        <v>184</v>
      </c>
      <c r="D36" s="163"/>
      <c r="E36" s="230" t="s">
        <v>346</v>
      </c>
      <c r="F36" s="215"/>
      <c r="I36" s="225"/>
      <c r="L36" s="329">
        <f>L23+L27+L31+L34</f>
        <v>0</v>
      </c>
      <c r="M36" s="232"/>
      <c r="N36" s="232"/>
      <c r="O36" s="232"/>
      <c r="P36" s="160"/>
      <c r="U36" s="161"/>
    </row>
    <row r="37" spans="1:21" ht="12.75">
      <c r="A37" s="214"/>
      <c r="C37" s="161"/>
      <c r="D37" s="161"/>
      <c r="E37" s="220"/>
      <c r="F37" s="219"/>
      <c r="I37" s="160"/>
      <c r="L37" s="160"/>
      <c r="M37" s="160"/>
      <c r="N37" s="160"/>
      <c r="O37" s="160"/>
      <c r="P37" s="160"/>
      <c r="Q37" s="160"/>
      <c r="R37" s="160"/>
      <c r="S37" s="233"/>
      <c r="U37" s="161"/>
    </row>
    <row r="38" spans="1:21" ht="12.75">
      <c r="A38" s="214"/>
      <c r="B38" s="234"/>
      <c r="C38" s="160" t="s">
        <v>347</v>
      </c>
      <c r="D38" s="160"/>
      <c r="E38" s="220"/>
      <c r="F38" s="219"/>
      <c r="I38" s="160"/>
      <c r="L38" s="160"/>
      <c r="M38" s="160"/>
      <c r="N38" s="160"/>
      <c r="O38" s="160"/>
      <c r="P38" s="235"/>
      <c r="Q38" s="234"/>
      <c r="T38" s="114"/>
      <c r="U38" s="160" t="s">
        <v>30</v>
      </c>
    </row>
    <row r="39" spans="1:21" ht="12.75">
      <c r="A39" s="214" t="s">
        <v>348</v>
      </c>
      <c r="B39" s="234"/>
      <c r="C39" s="160" t="s">
        <v>349</v>
      </c>
      <c r="D39" s="160"/>
      <c r="E39" s="220" t="s">
        <v>590</v>
      </c>
      <c r="F39" s="219"/>
      <c r="I39" s="5">
        <f>+'Attachment H'!I165</f>
        <v>-4013.9619416919199</v>
      </c>
      <c r="L39" s="160"/>
      <c r="M39" s="160"/>
      <c r="N39" s="160"/>
      <c r="O39" s="160"/>
      <c r="P39" s="235"/>
      <c r="Q39" s="234"/>
      <c r="T39" s="114"/>
      <c r="U39" s="160"/>
    </row>
    <row r="40" spans="1:21" ht="12.75">
      <c r="A40" s="214" t="s">
        <v>351</v>
      </c>
      <c r="B40" s="234"/>
      <c r="C40" s="160" t="s">
        <v>352</v>
      </c>
      <c r="D40" s="160"/>
      <c r="E40" s="220" t="s">
        <v>353</v>
      </c>
      <c r="F40" s="219"/>
      <c r="I40" s="25">
        <f>IF(I19=0,0,I39/I19)</f>
        <v>0</v>
      </c>
      <c r="L40" s="228">
        <f>I40</f>
        <v>0</v>
      </c>
      <c r="M40" s="223"/>
      <c r="N40" s="223"/>
      <c r="O40" s="223"/>
      <c r="P40" s="235"/>
      <c r="Q40" s="234"/>
      <c r="R40" s="160"/>
      <c r="S40" s="160"/>
      <c r="T40" s="114"/>
      <c r="U40" s="160"/>
    </row>
    <row r="41" spans="1:21" ht="12.75">
      <c r="A41" s="214"/>
      <c r="C41" s="160"/>
      <c r="D41" s="160"/>
      <c r="E41" s="220"/>
      <c r="F41" s="219"/>
      <c r="I41" s="160"/>
      <c r="L41" s="160"/>
      <c r="M41" s="160"/>
      <c r="N41" s="160"/>
      <c r="O41" s="160"/>
      <c r="P41" s="160"/>
      <c r="R41" s="161"/>
      <c r="S41" s="160"/>
      <c r="U41" s="161"/>
    </row>
    <row r="42" spans="1:21" ht="12.75">
      <c r="A42" s="214"/>
      <c r="C42" s="161" t="s">
        <v>139</v>
      </c>
      <c r="D42" s="161"/>
      <c r="E42" s="236"/>
      <c r="F42" s="237"/>
      <c r="P42" s="160"/>
      <c r="R42" s="160"/>
      <c r="S42" s="160"/>
      <c r="U42" s="161"/>
    </row>
    <row r="43" spans="1:21" ht="12.75">
      <c r="A43" s="214" t="s">
        <v>354</v>
      </c>
      <c r="C43" s="161" t="s">
        <v>355</v>
      </c>
      <c r="D43" s="161"/>
      <c r="E43" s="220" t="s">
        <v>356</v>
      </c>
      <c r="F43" s="219"/>
      <c r="I43" s="5">
        <f>+'Attachment H'!I168</f>
        <v>-28552.408965231894</v>
      </c>
      <c r="L43" s="160"/>
      <c r="M43" s="160"/>
      <c r="N43" s="160"/>
      <c r="O43" s="160"/>
      <c r="P43" s="160"/>
      <c r="R43" s="160"/>
      <c r="S43" s="160"/>
      <c r="U43" s="161"/>
    </row>
    <row r="44" spans="1:21" ht="12.75">
      <c r="A44" s="214" t="s">
        <v>357</v>
      </c>
      <c r="B44" s="234"/>
      <c r="C44" s="160" t="s">
        <v>358</v>
      </c>
      <c r="D44" s="160"/>
      <c r="E44" s="220" t="s">
        <v>359</v>
      </c>
      <c r="F44" s="219"/>
      <c r="I44" s="25">
        <f>IF(I19=0,0,I43/I19)</f>
        <v>0</v>
      </c>
      <c r="L44" s="228">
        <f>I44</f>
        <v>0</v>
      </c>
      <c r="M44" s="223"/>
      <c r="N44" s="223"/>
      <c r="O44" s="223"/>
      <c r="P44" s="160"/>
      <c r="S44" s="238"/>
      <c r="T44" s="114"/>
      <c r="U44" s="160"/>
    </row>
    <row r="45" spans="1:21" ht="12.75">
      <c r="A45" s="214"/>
      <c r="C45" s="161"/>
      <c r="D45" s="161"/>
      <c r="E45" s="220"/>
      <c r="F45" s="219"/>
      <c r="I45" s="160"/>
      <c r="L45" s="160"/>
      <c r="M45" s="160"/>
      <c r="N45" s="160"/>
      <c r="O45" s="160"/>
      <c r="P45" s="160"/>
      <c r="Q45" s="237"/>
      <c r="R45" s="160"/>
      <c r="S45" s="160"/>
      <c r="U45" s="161"/>
    </row>
    <row r="46" spans="1:21" ht="12.75">
      <c r="A46" s="229" t="s">
        <v>360</v>
      </c>
      <c r="B46" s="126"/>
      <c r="C46" s="163" t="s">
        <v>187</v>
      </c>
      <c r="D46" s="163"/>
      <c r="E46" s="230" t="s">
        <v>361</v>
      </c>
      <c r="F46" s="215"/>
      <c r="I46" s="5">
        <f>+I44+I40</f>
        <v>0</v>
      </c>
      <c r="L46" s="239">
        <f>L40+L44</f>
        <v>0</v>
      </c>
      <c r="M46" s="232"/>
      <c r="N46" s="232"/>
      <c r="O46" s="232"/>
      <c r="P46" s="160"/>
      <c r="Q46" s="237"/>
      <c r="R46" s="160"/>
      <c r="S46" s="160"/>
      <c r="U46" s="161"/>
    </row>
    <row r="47" spans="16:21" ht="12.75">
      <c r="P47" s="240"/>
      <c r="Q47" s="240"/>
      <c r="R47" s="160"/>
      <c r="S47" s="160"/>
      <c r="U47" s="161"/>
    </row>
    <row r="48" spans="16:21" ht="12.75">
      <c r="P48" s="240"/>
      <c r="Q48" s="240"/>
      <c r="R48" s="160"/>
      <c r="S48" s="160"/>
      <c r="U48" s="161"/>
    </row>
    <row r="49" spans="1:21" ht="12.75">
      <c r="A49" s="241"/>
      <c r="C49" s="214"/>
      <c r="D49" s="214"/>
      <c r="E49" s="4"/>
      <c r="F49" s="4"/>
      <c r="G49" s="160"/>
      <c r="J49" s="227"/>
      <c r="P49" s="160"/>
      <c r="Q49" s="224"/>
      <c r="R49" s="210"/>
      <c r="S49" s="160"/>
      <c r="T49" s="114"/>
      <c r="U49" s="160"/>
    </row>
    <row r="50" spans="1:21" ht="12.75">
      <c r="A50" s="6"/>
      <c r="G50" s="160"/>
      <c r="P50" s="160"/>
      <c r="Q50" s="160"/>
      <c r="R50" s="160"/>
      <c r="S50" s="160"/>
      <c r="T50" s="114"/>
      <c r="U50" s="160" t="s">
        <v>30</v>
      </c>
    </row>
    <row r="51" spans="17:17" ht="12.75">
      <c r="Q51" s="209"/>
    </row>
    <row r="52" spans="17:17" ht="12.75">
      <c r="Q52" s="209"/>
    </row>
    <row r="54" spans="1:21" ht="12.75">
      <c r="A54" s="6"/>
      <c r="G54" s="160"/>
      <c r="P54" s="160"/>
      <c r="Q54" s="209"/>
      <c r="R54" s="160"/>
      <c r="S54" s="161"/>
      <c r="U54" s="161"/>
    </row>
    <row r="55" spans="1:21" ht="12.75">
      <c r="A55" s="6"/>
      <c r="C55" s="161"/>
      <c r="D55" s="161"/>
      <c r="G55" s="4" t="str">
        <f>+G5</f>
        <v>Attachment 1</v>
      </c>
      <c r="H55" s="4"/>
      <c r="P55" s="160"/>
      <c r="Q55" s="209"/>
      <c r="R55" s="160"/>
      <c r="S55" s="1" t="s">
        <v>591</v>
      </c>
      <c r="U55" s="161"/>
    </row>
    <row r="56" spans="1:21" ht="12.75">
      <c r="A56" s="6"/>
      <c r="C56" s="161"/>
      <c r="D56" s="161"/>
      <c r="G56" s="4" t="str">
        <f>+G6</f>
        <v>Project Revenue Requirement Worksheet</v>
      </c>
      <c r="H56" s="4"/>
      <c r="L56" s="160"/>
      <c r="M56" s="160"/>
      <c r="N56" s="160"/>
      <c r="O56" s="160"/>
      <c r="P56" s="160"/>
      <c r="R56" s="160"/>
      <c r="S56" s="161"/>
      <c r="U56" s="161"/>
    </row>
    <row r="57" spans="1:21" ht="14.25" customHeight="1">
      <c r="A57" s="6"/>
      <c r="G57" s="4" t="str">
        <f>+G7</f>
        <v>GridLiance High Plains LLC</v>
      </c>
      <c r="P57" s="160"/>
      <c r="R57" s="160"/>
      <c r="S57" s="161"/>
      <c r="U57" s="161"/>
    </row>
    <row r="58" spans="1:21" ht="12.75">
      <c r="A58" s="6"/>
      <c r="H58" s="4"/>
      <c r="P58" s="160"/>
      <c r="Q58" s="160"/>
      <c r="R58" s="160"/>
      <c r="S58" s="161"/>
      <c r="U58" s="161"/>
    </row>
    <row r="59" spans="1:21" ht="12.75">
      <c r="A59" s="6"/>
      <c r="E59" s="161"/>
      <c r="F59" s="161"/>
      <c r="G59" s="161"/>
      <c r="H59" s="161"/>
      <c r="I59" s="161"/>
      <c r="J59" s="161"/>
      <c r="K59" s="161"/>
      <c r="L59" s="161"/>
      <c r="M59" s="161"/>
      <c r="N59" s="161"/>
      <c r="O59" s="161"/>
      <c r="P59" s="161"/>
      <c r="Q59" s="161"/>
      <c r="R59" s="160"/>
      <c r="S59" s="161"/>
      <c r="U59" s="161"/>
    </row>
    <row r="60" spans="1:21" ht="12.75">
      <c r="A60" s="6"/>
      <c r="E60" s="163"/>
      <c r="F60" s="163"/>
      <c r="H60" s="161"/>
      <c r="I60" s="161"/>
      <c r="J60" s="161"/>
      <c r="K60" s="161"/>
      <c r="L60" s="161"/>
      <c r="M60" s="161"/>
      <c r="N60" s="161"/>
      <c r="O60" s="161"/>
      <c r="P60" s="160"/>
      <c r="Q60" s="160"/>
      <c r="R60" s="160"/>
      <c r="S60" s="161"/>
      <c r="U60" s="161"/>
    </row>
    <row r="61" spans="1:21" ht="12.75">
      <c r="A61" s="6"/>
      <c r="E61" s="163"/>
      <c r="F61" s="163"/>
      <c r="H61" s="161"/>
      <c r="I61" s="161"/>
      <c r="J61" s="161"/>
      <c r="K61" s="161"/>
      <c r="L61" s="161"/>
      <c r="M61" s="161"/>
      <c r="N61" s="161"/>
      <c r="O61" s="161"/>
      <c r="P61" s="160"/>
      <c r="Q61" s="160"/>
      <c r="R61" s="160"/>
      <c r="S61" s="161"/>
      <c r="U61" s="161"/>
    </row>
    <row r="62" spans="1:21" ht="12.75">
      <c r="A62" s="6"/>
      <c r="C62" s="7">
        <v>-1</v>
      </c>
      <c r="D62" s="7">
        <v>-2</v>
      </c>
      <c r="E62" s="7">
        <v>-3</v>
      </c>
      <c r="F62" s="7">
        <v>-4</v>
      </c>
      <c r="G62" s="7">
        <v>-5</v>
      </c>
      <c r="H62" s="7">
        <v>-6</v>
      </c>
      <c r="I62" s="7">
        <v>-7</v>
      </c>
      <c r="J62" s="7">
        <v>-8</v>
      </c>
      <c r="K62" s="7">
        <v>-9</v>
      </c>
      <c r="L62" s="7">
        <v>-10</v>
      </c>
      <c r="M62" s="7">
        <v>-11</v>
      </c>
      <c r="N62" s="7">
        <v>-12</v>
      </c>
      <c r="O62" s="7" t="s">
        <v>592</v>
      </c>
      <c r="P62" s="7">
        <v>-13</v>
      </c>
      <c r="Q62" s="242" t="s">
        <v>593</v>
      </c>
      <c r="R62" s="242" t="s">
        <v>594</v>
      </c>
      <c r="S62" s="242" t="s">
        <v>595</v>
      </c>
      <c r="U62" s="161"/>
    </row>
    <row r="63" spans="1:21" ht="53.25" customHeight="1">
      <c r="A63" s="330" t="s">
        <v>1</v>
      </c>
      <c r="B63" s="331"/>
      <c r="C63" s="331" t="s">
        <v>596</v>
      </c>
      <c r="D63" s="332" t="s">
        <v>597</v>
      </c>
      <c r="E63" s="333" t="s">
        <v>3</v>
      </c>
      <c r="F63" s="333" t="s">
        <v>184</v>
      </c>
      <c r="G63" s="334" t="s">
        <v>5</v>
      </c>
      <c r="H63" s="333" t="s">
        <v>6</v>
      </c>
      <c r="I63" s="333" t="s">
        <v>187</v>
      </c>
      <c r="J63" s="334" t="s">
        <v>8</v>
      </c>
      <c r="K63" s="333" t="s">
        <v>9</v>
      </c>
      <c r="L63" s="335" t="s">
        <v>598</v>
      </c>
      <c r="M63" s="335" t="s">
        <v>599</v>
      </c>
      <c r="N63" s="335" t="s">
        <v>600</v>
      </c>
      <c r="O63" s="335" t="s">
        <v>601</v>
      </c>
      <c r="P63" s="335" t="s">
        <v>602</v>
      </c>
      <c r="Q63" s="335" t="s">
        <v>603</v>
      </c>
      <c r="R63" s="335" t="s">
        <v>604</v>
      </c>
      <c r="S63" s="335" t="s">
        <v>605</v>
      </c>
      <c r="U63" s="161"/>
    </row>
    <row r="64" spans="1:21" ht="46.5" customHeight="1">
      <c r="A64" s="336"/>
      <c r="B64" s="337"/>
      <c r="C64" s="337"/>
      <c r="D64" s="337"/>
      <c r="E64" s="338" t="s">
        <v>606</v>
      </c>
      <c r="F64" s="338" t="s">
        <v>369</v>
      </c>
      <c r="G64" s="339" t="s">
        <v>607</v>
      </c>
      <c r="H64" s="338" t="s">
        <v>608</v>
      </c>
      <c r="I64" s="338" t="s">
        <v>372</v>
      </c>
      <c r="J64" s="339" t="s">
        <v>609</v>
      </c>
      <c r="K64" s="338" t="s">
        <v>610</v>
      </c>
      <c r="L64" s="339" t="s">
        <v>611</v>
      </c>
      <c r="M64" s="338" t="s">
        <v>612</v>
      </c>
      <c r="N64" s="340" t="s">
        <v>613</v>
      </c>
      <c r="O64" s="341" t="s">
        <v>614</v>
      </c>
      <c r="P64" s="342" t="s">
        <v>615</v>
      </c>
      <c r="Q64" s="341" t="s">
        <v>616</v>
      </c>
      <c r="R64" s="343" t="s">
        <v>476</v>
      </c>
      <c r="S64" s="341" t="s">
        <v>617</v>
      </c>
      <c r="U64" s="161"/>
    </row>
    <row r="65" spans="1:21" ht="12.75">
      <c r="A65" s="344"/>
      <c r="B65" s="161"/>
      <c r="C65" s="161"/>
      <c r="D65" s="161"/>
      <c r="E65" s="161"/>
      <c r="F65" s="161"/>
      <c r="G65" s="345"/>
      <c r="H65" s="161"/>
      <c r="I65" s="161"/>
      <c r="J65" s="345"/>
      <c r="K65" s="161"/>
      <c r="L65" s="345"/>
      <c r="M65" s="346"/>
      <c r="N65" s="345"/>
      <c r="O65" s="345"/>
      <c r="P65" s="161"/>
      <c r="Q65" s="347"/>
      <c r="R65" s="160"/>
      <c r="S65" s="348"/>
      <c r="U65" s="161"/>
    </row>
    <row r="66" spans="1:19" ht="12.75">
      <c r="A66" s="349" t="s">
        <v>377</v>
      </c>
      <c r="B66" s="255"/>
      <c r="C66" s="256"/>
      <c r="D66" s="350"/>
      <c r="E66" s="351">
        <v>0</v>
      </c>
      <c r="F66" s="25">
        <f t="shared" si="0" ref="F66:F84">$L$36</f>
        <v>0</v>
      </c>
      <c r="G66" s="190">
        <f t="shared" si="1" ref="G66:G84">E66*F66</f>
        <v>0</v>
      </c>
      <c r="H66" s="351">
        <v>0</v>
      </c>
      <c r="I66" s="25">
        <f>$L$46</f>
        <v>0</v>
      </c>
      <c r="J66" s="190">
        <f>H66*I66</f>
        <v>0</v>
      </c>
      <c r="K66" s="351">
        <v>0</v>
      </c>
      <c r="L66" s="190">
        <f>G66+J66+K66</f>
        <v>0</v>
      </c>
      <c r="M66" s="352">
        <v>0</v>
      </c>
      <c r="N66" s="190">
        <f>+'2-Incentive ROE'!K$38*'1-Project Rev Req'!M66/100</f>
        <v>0</v>
      </c>
      <c r="O66" s="190">
        <f>+L66+N66</f>
        <v>0</v>
      </c>
      <c r="P66" s="59">
        <v>0</v>
      </c>
      <c r="Q66" s="192">
        <f t="shared" si="2" ref="Q66:Q84">+L66+N66-P66</f>
        <v>0</v>
      </c>
      <c r="R66" s="351">
        <v>0</v>
      </c>
      <c r="S66" s="192">
        <f>+Q66+R66</f>
        <v>0</v>
      </c>
    </row>
    <row r="67" spans="1:19" ht="12.75">
      <c r="A67" s="349" t="s">
        <v>378</v>
      </c>
      <c r="B67" s="255"/>
      <c r="C67" s="256"/>
      <c r="D67" s="350"/>
      <c r="E67" s="351">
        <v>0</v>
      </c>
      <c r="F67" s="25">
        <f t="shared" si="0"/>
        <v>0</v>
      </c>
      <c r="G67" s="190">
        <f t="shared" si="1"/>
        <v>0</v>
      </c>
      <c r="H67" s="351">
        <v>0</v>
      </c>
      <c r="I67" s="25">
        <f t="shared" si="3" ref="I67:I84">$L$46</f>
        <v>0</v>
      </c>
      <c r="J67" s="190">
        <f t="shared" si="4" ref="J67:J84">H67*I67</f>
        <v>0</v>
      </c>
      <c r="K67" s="351">
        <v>0</v>
      </c>
      <c r="L67" s="190">
        <f t="shared" si="5" ref="L67:L84">G67+J67+K67</f>
        <v>0</v>
      </c>
      <c r="M67" s="352">
        <v>0</v>
      </c>
      <c r="N67" s="190">
        <f>+'2-Incentive ROE'!K$38*'1-Project Rev Req'!M67/100</f>
        <v>0</v>
      </c>
      <c r="O67" s="190">
        <f t="shared" si="6" ref="O67:O84">+L67+N67</f>
        <v>0</v>
      </c>
      <c r="P67" s="59">
        <v>0</v>
      </c>
      <c r="Q67" s="192">
        <f t="shared" si="2"/>
        <v>0</v>
      </c>
      <c r="R67" s="351">
        <v>0</v>
      </c>
      <c r="S67" s="192">
        <f>+Q67+R67</f>
        <v>0</v>
      </c>
    </row>
    <row r="68" spans="1:19" ht="24" customHeight="1">
      <c r="A68" s="349" t="s">
        <v>379</v>
      </c>
      <c r="B68" s="255"/>
      <c r="C68" s="256"/>
      <c r="D68" s="350"/>
      <c r="E68" s="351">
        <v>0</v>
      </c>
      <c r="F68" s="25">
        <f t="shared" si="0"/>
        <v>0</v>
      </c>
      <c r="G68" s="190">
        <f t="shared" si="1"/>
        <v>0</v>
      </c>
      <c r="H68" s="351">
        <v>0</v>
      </c>
      <c r="I68" s="25">
        <f t="shared" si="3"/>
        <v>0</v>
      </c>
      <c r="J68" s="190">
        <f>H68*I68</f>
        <v>0</v>
      </c>
      <c r="K68" s="351">
        <v>0</v>
      </c>
      <c r="L68" s="190">
        <f>G68+J68+K68</f>
        <v>0</v>
      </c>
      <c r="M68" s="352">
        <v>0</v>
      </c>
      <c r="N68" s="190">
        <f>+'2-Incentive ROE'!K$38*'1-Project Rev Req'!M68/100</f>
        <v>0</v>
      </c>
      <c r="O68" s="190">
        <f t="shared" si="6"/>
        <v>0</v>
      </c>
      <c r="P68" s="59">
        <v>0</v>
      </c>
      <c r="Q68" s="192">
        <f t="shared" si="2"/>
        <v>0</v>
      </c>
      <c r="R68" s="351">
        <v>0</v>
      </c>
      <c r="S68" s="192">
        <f>+Q68+R68</f>
        <v>0</v>
      </c>
    </row>
    <row r="69" spans="1:19" ht="12.75">
      <c r="A69" s="349"/>
      <c r="B69" s="255"/>
      <c r="C69" s="256"/>
      <c r="D69" s="350"/>
      <c r="E69" s="351">
        <v>0</v>
      </c>
      <c r="F69" s="25">
        <f t="shared" si="0"/>
        <v>0</v>
      </c>
      <c r="G69" s="190">
        <f t="shared" si="1"/>
        <v>0</v>
      </c>
      <c r="H69" s="351">
        <v>0</v>
      </c>
      <c r="I69" s="25">
        <f t="shared" si="3"/>
        <v>0</v>
      </c>
      <c r="J69" s="190">
        <f t="shared" si="4"/>
        <v>0</v>
      </c>
      <c r="K69" s="351">
        <v>0</v>
      </c>
      <c r="L69" s="190">
        <f t="shared" si="5"/>
        <v>0</v>
      </c>
      <c r="M69" s="352">
        <v>0</v>
      </c>
      <c r="N69" s="190">
        <f>+'2-Incentive ROE'!K$38*'1-Project Rev Req'!M69/100</f>
        <v>0</v>
      </c>
      <c r="O69" s="190">
        <f t="shared" si="6"/>
        <v>0</v>
      </c>
      <c r="P69" s="59">
        <v>0</v>
      </c>
      <c r="Q69" s="192">
        <f t="shared" si="2"/>
        <v>0</v>
      </c>
      <c r="R69" s="351">
        <v>0</v>
      </c>
      <c r="S69" s="192">
        <f>+Q69+R69</f>
        <v>0</v>
      </c>
    </row>
    <row r="70" spans="1:19" ht="12.75">
      <c r="A70" s="349"/>
      <c r="B70" s="255"/>
      <c r="C70" s="256"/>
      <c r="D70" s="350"/>
      <c r="E70" s="351">
        <v>0</v>
      </c>
      <c r="F70" s="25">
        <f t="shared" si="0"/>
        <v>0</v>
      </c>
      <c r="G70" s="190">
        <f t="shared" si="1"/>
        <v>0</v>
      </c>
      <c r="H70" s="351">
        <v>0</v>
      </c>
      <c r="I70" s="25">
        <f t="shared" si="3"/>
        <v>0</v>
      </c>
      <c r="J70" s="190">
        <f t="shared" si="4"/>
        <v>0</v>
      </c>
      <c r="K70" s="351">
        <v>0</v>
      </c>
      <c r="L70" s="190">
        <f t="shared" si="5"/>
        <v>0</v>
      </c>
      <c r="M70" s="352">
        <v>0</v>
      </c>
      <c r="N70" s="190">
        <f>+'2-Incentive ROE'!K$38*'1-Project Rev Req'!M70/100</f>
        <v>0</v>
      </c>
      <c r="O70" s="190">
        <f t="shared" si="6"/>
        <v>0</v>
      </c>
      <c r="P70" s="59">
        <v>0</v>
      </c>
      <c r="Q70" s="192">
        <f t="shared" si="2"/>
        <v>0</v>
      </c>
      <c r="R70" s="351">
        <v>0</v>
      </c>
      <c r="S70" s="192">
        <f>+Q70+R70</f>
        <v>0</v>
      </c>
    </row>
    <row r="71" spans="1:19" ht="12.75">
      <c r="A71" s="349"/>
      <c r="B71" s="255"/>
      <c r="C71" s="256"/>
      <c r="D71" s="350"/>
      <c r="E71" s="351">
        <v>0</v>
      </c>
      <c r="F71" s="25">
        <f t="shared" si="0"/>
        <v>0</v>
      </c>
      <c r="G71" s="190">
        <f t="shared" si="1"/>
        <v>0</v>
      </c>
      <c r="H71" s="351">
        <v>0</v>
      </c>
      <c r="I71" s="25">
        <f t="shared" si="3"/>
        <v>0</v>
      </c>
      <c r="J71" s="190">
        <f t="shared" si="4"/>
        <v>0</v>
      </c>
      <c r="K71" s="351">
        <v>0</v>
      </c>
      <c r="L71" s="190">
        <f t="shared" si="5"/>
        <v>0</v>
      </c>
      <c r="M71" s="352">
        <v>0</v>
      </c>
      <c r="N71" s="190">
        <f>+'2-Incentive ROE'!K$38*'1-Project Rev Req'!M71/100</f>
        <v>0</v>
      </c>
      <c r="O71" s="190">
        <f t="shared" si="6"/>
        <v>0</v>
      </c>
      <c r="P71" s="59">
        <v>0</v>
      </c>
      <c r="Q71" s="192">
        <f t="shared" si="2"/>
        <v>0</v>
      </c>
      <c r="R71" s="351">
        <v>0</v>
      </c>
      <c r="S71" s="192">
        <f t="shared" si="7" ref="S71:S85">L71+R71</f>
        <v>0</v>
      </c>
    </row>
    <row r="72" spans="1:19" ht="12.75">
      <c r="A72" s="349"/>
      <c r="B72" s="255"/>
      <c r="C72" s="256"/>
      <c r="D72" s="350"/>
      <c r="E72" s="351">
        <v>0</v>
      </c>
      <c r="F72" s="25">
        <f t="shared" si="0"/>
        <v>0</v>
      </c>
      <c r="G72" s="190">
        <f t="shared" si="1"/>
        <v>0</v>
      </c>
      <c r="H72" s="351">
        <v>0</v>
      </c>
      <c r="I72" s="25">
        <f t="shared" si="3"/>
        <v>0</v>
      </c>
      <c r="J72" s="190">
        <f t="shared" si="4"/>
        <v>0</v>
      </c>
      <c r="K72" s="351">
        <v>0</v>
      </c>
      <c r="L72" s="190">
        <f t="shared" si="5"/>
        <v>0</v>
      </c>
      <c r="M72" s="352">
        <v>0</v>
      </c>
      <c r="N72" s="190">
        <f>+'2-Incentive ROE'!K$38*'1-Project Rev Req'!M72/100</f>
        <v>0</v>
      </c>
      <c r="O72" s="190">
        <f t="shared" si="6"/>
        <v>0</v>
      </c>
      <c r="P72" s="59">
        <v>0</v>
      </c>
      <c r="Q72" s="192">
        <f t="shared" si="2"/>
        <v>0</v>
      </c>
      <c r="R72" s="351">
        <v>0</v>
      </c>
      <c r="S72" s="192">
        <f t="shared" si="7"/>
        <v>0</v>
      </c>
    </row>
    <row r="73" spans="1:19" ht="12.75">
      <c r="A73" s="349"/>
      <c r="B73" s="255"/>
      <c r="C73" s="256"/>
      <c r="D73" s="353"/>
      <c r="E73" s="351">
        <v>0</v>
      </c>
      <c r="F73" s="25">
        <f t="shared" si="0"/>
        <v>0</v>
      </c>
      <c r="G73" s="190">
        <f t="shared" si="1"/>
        <v>0</v>
      </c>
      <c r="H73" s="351">
        <v>0</v>
      </c>
      <c r="I73" s="25">
        <f t="shared" si="3"/>
        <v>0</v>
      </c>
      <c r="J73" s="190">
        <f t="shared" si="4"/>
        <v>0</v>
      </c>
      <c r="K73" s="351">
        <v>0</v>
      </c>
      <c r="L73" s="190">
        <f t="shared" si="5"/>
        <v>0</v>
      </c>
      <c r="M73" s="352">
        <v>0</v>
      </c>
      <c r="N73" s="190">
        <f>+'2-Incentive ROE'!K$38*'1-Project Rev Req'!M73/100</f>
        <v>0</v>
      </c>
      <c r="O73" s="190">
        <f t="shared" si="6"/>
        <v>0</v>
      </c>
      <c r="P73" s="59">
        <v>0</v>
      </c>
      <c r="Q73" s="192">
        <f t="shared" si="2"/>
        <v>0</v>
      </c>
      <c r="R73" s="351">
        <v>0</v>
      </c>
      <c r="S73" s="192">
        <f t="shared" si="7"/>
        <v>0</v>
      </c>
    </row>
    <row r="74" spans="1:19" ht="12.75">
      <c r="A74" s="349"/>
      <c r="B74" s="255"/>
      <c r="C74" s="256"/>
      <c r="D74" s="350"/>
      <c r="E74" s="351">
        <v>0</v>
      </c>
      <c r="F74" s="25">
        <f t="shared" si="0"/>
        <v>0</v>
      </c>
      <c r="G74" s="190">
        <f t="shared" si="1"/>
        <v>0</v>
      </c>
      <c r="H74" s="351">
        <v>0</v>
      </c>
      <c r="I74" s="25">
        <f t="shared" si="3"/>
        <v>0</v>
      </c>
      <c r="J74" s="190">
        <f t="shared" si="4"/>
        <v>0</v>
      </c>
      <c r="K74" s="351">
        <v>0</v>
      </c>
      <c r="L74" s="190">
        <f t="shared" si="5"/>
        <v>0</v>
      </c>
      <c r="M74" s="352">
        <v>0</v>
      </c>
      <c r="N74" s="190">
        <f>+'2-Incentive ROE'!K$38*'1-Project Rev Req'!M74/100</f>
        <v>0</v>
      </c>
      <c r="O74" s="190">
        <f t="shared" si="6"/>
        <v>0</v>
      </c>
      <c r="P74" s="59">
        <v>0</v>
      </c>
      <c r="Q74" s="192">
        <f t="shared" si="2"/>
        <v>0</v>
      </c>
      <c r="R74" s="351">
        <v>0</v>
      </c>
      <c r="S74" s="192">
        <f t="shared" si="7"/>
        <v>0</v>
      </c>
    </row>
    <row r="75" spans="1:19" ht="12.75">
      <c r="A75" s="349"/>
      <c r="B75" s="255"/>
      <c r="C75" s="256"/>
      <c r="D75" s="350"/>
      <c r="E75" s="351">
        <v>0</v>
      </c>
      <c r="F75" s="25">
        <f t="shared" si="0"/>
        <v>0</v>
      </c>
      <c r="G75" s="190">
        <f t="shared" si="1"/>
        <v>0</v>
      </c>
      <c r="H75" s="351">
        <v>0</v>
      </c>
      <c r="I75" s="25">
        <f t="shared" si="3"/>
        <v>0</v>
      </c>
      <c r="J75" s="190">
        <f t="shared" si="4"/>
        <v>0</v>
      </c>
      <c r="K75" s="351">
        <v>0</v>
      </c>
      <c r="L75" s="190">
        <f t="shared" si="5"/>
        <v>0</v>
      </c>
      <c r="M75" s="352">
        <v>0</v>
      </c>
      <c r="N75" s="190">
        <f>+'2-Incentive ROE'!K$38*'1-Project Rev Req'!M75/100</f>
        <v>0</v>
      </c>
      <c r="O75" s="190">
        <f t="shared" si="6"/>
        <v>0</v>
      </c>
      <c r="P75" s="59">
        <v>0</v>
      </c>
      <c r="Q75" s="192">
        <f t="shared" si="2"/>
        <v>0</v>
      </c>
      <c r="R75" s="351">
        <v>0</v>
      </c>
      <c r="S75" s="192">
        <f t="shared" si="7"/>
        <v>0</v>
      </c>
    </row>
    <row r="76" spans="1:19" ht="12.75">
      <c r="A76" s="349"/>
      <c r="B76" s="255"/>
      <c r="C76" s="256"/>
      <c r="D76" s="350"/>
      <c r="E76" s="351">
        <v>0</v>
      </c>
      <c r="F76" s="25">
        <f t="shared" si="0"/>
        <v>0</v>
      </c>
      <c r="G76" s="190">
        <f t="shared" si="1"/>
        <v>0</v>
      </c>
      <c r="H76" s="351">
        <v>0</v>
      </c>
      <c r="I76" s="25">
        <f t="shared" si="3"/>
        <v>0</v>
      </c>
      <c r="J76" s="190">
        <f t="shared" si="4"/>
        <v>0</v>
      </c>
      <c r="K76" s="351">
        <v>0</v>
      </c>
      <c r="L76" s="190">
        <f t="shared" si="5"/>
        <v>0</v>
      </c>
      <c r="M76" s="352">
        <v>0</v>
      </c>
      <c r="N76" s="190">
        <f>+'2-Incentive ROE'!K$38*'1-Project Rev Req'!M76/100</f>
        <v>0</v>
      </c>
      <c r="O76" s="190">
        <f t="shared" si="6"/>
        <v>0</v>
      </c>
      <c r="P76" s="59">
        <v>0</v>
      </c>
      <c r="Q76" s="192">
        <f t="shared" si="2"/>
        <v>0</v>
      </c>
      <c r="R76" s="351">
        <v>0</v>
      </c>
      <c r="S76" s="192">
        <f t="shared" si="7"/>
        <v>0</v>
      </c>
    </row>
    <row r="77" spans="1:19" ht="12.75">
      <c r="A77" s="349"/>
      <c r="B77" s="255"/>
      <c r="C77" s="256"/>
      <c r="D77" s="350"/>
      <c r="E77" s="351">
        <v>0</v>
      </c>
      <c r="F77" s="25">
        <f t="shared" si="0"/>
        <v>0</v>
      </c>
      <c r="G77" s="190">
        <f t="shared" si="1"/>
        <v>0</v>
      </c>
      <c r="H77" s="351">
        <v>0</v>
      </c>
      <c r="I77" s="25">
        <f t="shared" si="3"/>
        <v>0</v>
      </c>
      <c r="J77" s="190">
        <f t="shared" si="4"/>
        <v>0</v>
      </c>
      <c r="K77" s="351">
        <v>0</v>
      </c>
      <c r="L77" s="190">
        <f t="shared" si="5"/>
        <v>0</v>
      </c>
      <c r="M77" s="352">
        <v>0</v>
      </c>
      <c r="N77" s="190">
        <f>+'2-Incentive ROE'!K$38*'1-Project Rev Req'!M77/100</f>
        <v>0</v>
      </c>
      <c r="O77" s="190">
        <f t="shared" si="6"/>
        <v>0</v>
      </c>
      <c r="P77" s="59">
        <v>0</v>
      </c>
      <c r="Q77" s="192">
        <f t="shared" si="2"/>
        <v>0</v>
      </c>
      <c r="R77" s="351">
        <v>0</v>
      </c>
      <c r="S77" s="192">
        <f t="shared" si="7"/>
        <v>0</v>
      </c>
    </row>
    <row r="78" spans="1:19" ht="12.75">
      <c r="A78" s="349"/>
      <c r="B78" s="255"/>
      <c r="C78" s="256"/>
      <c r="D78" s="350"/>
      <c r="E78" s="351">
        <v>0</v>
      </c>
      <c r="F78" s="25">
        <f t="shared" si="0"/>
        <v>0</v>
      </c>
      <c r="G78" s="190">
        <f t="shared" si="1"/>
        <v>0</v>
      </c>
      <c r="H78" s="351">
        <v>0</v>
      </c>
      <c r="I78" s="25">
        <f t="shared" si="3"/>
        <v>0</v>
      </c>
      <c r="J78" s="190">
        <f t="shared" si="4"/>
        <v>0</v>
      </c>
      <c r="K78" s="351">
        <v>0</v>
      </c>
      <c r="L78" s="190">
        <f t="shared" si="5"/>
        <v>0</v>
      </c>
      <c r="M78" s="352">
        <v>0</v>
      </c>
      <c r="N78" s="190">
        <f>+'2-Incentive ROE'!K$38*'1-Project Rev Req'!M78/100</f>
        <v>0</v>
      </c>
      <c r="O78" s="190">
        <f t="shared" si="6"/>
        <v>0</v>
      </c>
      <c r="P78" s="59">
        <v>0</v>
      </c>
      <c r="Q78" s="192">
        <f t="shared" si="2"/>
        <v>0</v>
      </c>
      <c r="R78" s="351">
        <v>0</v>
      </c>
      <c r="S78" s="192">
        <f t="shared" si="7"/>
        <v>0</v>
      </c>
    </row>
    <row r="79" spans="1:19" ht="12.75">
      <c r="A79" s="349"/>
      <c r="B79" s="255"/>
      <c r="C79" s="256"/>
      <c r="D79" s="350"/>
      <c r="E79" s="351">
        <v>0</v>
      </c>
      <c r="F79" s="25">
        <f t="shared" si="0"/>
        <v>0</v>
      </c>
      <c r="G79" s="190">
        <f t="shared" si="1"/>
        <v>0</v>
      </c>
      <c r="H79" s="351">
        <v>0</v>
      </c>
      <c r="I79" s="25">
        <f t="shared" si="3"/>
        <v>0</v>
      </c>
      <c r="J79" s="190">
        <f t="shared" si="4"/>
        <v>0</v>
      </c>
      <c r="K79" s="351">
        <v>0</v>
      </c>
      <c r="L79" s="190">
        <f t="shared" si="5"/>
        <v>0</v>
      </c>
      <c r="M79" s="352">
        <v>0</v>
      </c>
      <c r="N79" s="190">
        <f>+'2-Incentive ROE'!K$38*'1-Project Rev Req'!M79/100</f>
        <v>0</v>
      </c>
      <c r="O79" s="190">
        <f t="shared" si="6"/>
        <v>0</v>
      </c>
      <c r="P79" s="59">
        <v>0</v>
      </c>
      <c r="Q79" s="192">
        <f t="shared" si="2"/>
        <v>0</v>
      </c>
      <c r="R79" s="351">
        <v>0</v>
      </c>
      <c r="S79" s="192">
        <f t="shared" si="7"/>
        <v>0</v>
      </c>
    </row>
    <row r="80" spans="1:19" ht="12.75">
      <c r="A80" s="349"/>
      <c r="B80" s="255"/>
      <c r="C80" s="256"/>
      <c r="D80" s="350"/>
      <c r="E80" s="351">
        <v>0</v>
      </c>
      <c r="F80" s="25">
        <f t="shared" si="0"/>
        <v>0</v>
      </c>
      <c r="G80" s="190">
        <f t="shared" si="1"/>
        <v>0</v>
      </c>
      <c r="H80" s="351">
        <v>0</v>
      </c>
      <c r="I80" s="25">
        <f t="shared" si="3"/>
        <v>0</v>
      </c>
      <c r="J80" s="190">
        <f t="shared" si="4"/>
        <v>0</v>
      </c>
      <c r="K80" s="351">
        <v>0</v>
      </c>
      <c r="L80" s="190">
        <f t="shared" si="5"/>
        <v>0</v>
      </c>
      <c r="M80" s="352">
        <v>0</v>
      </c>
      <c r="N80" s="190">
        <f>+'2-Incentive ROE'!K$38*'1-Project Rev Req'!M80/100</f>
        <v>0</v>
      </c>
      <c r="O80" s="190">
        <f t="shared" si="6"/>
        <v>0</v>
      </c>
      <c r="P80" s="59">
        <v>0</v>
      </c>
      <c r="Q80" s="192">
        <f t="shared" si="2"/>
        <v>0</v>
      </c>
      <c r="R80" s="351">
        <v>0</v>
      </c>
      <c r="S80" s="192">
        <f t="shared" si="7"/>
        <v>0</v>
      </c>
    </row>
    <row r="81" spans="1:19" ht="12.75">
      <c r="A81" s="354"/>
      <c r="C81" s="259"/>
      <c r="D81" s="259"/>
      <c r="E81" s="351">
        <v>0</v>
      </c>
      <c r="F81" s="25">
        <f t="shared" si="0"/>
        <v>0</v>
      </c>
      <c r="G81" s="190">
        <f t="shared" si="1"/>
        <v>0</v>
      </c>
      <c r="H81" s="351">
        <v>0</v>
      </c>
      <c r="I81" s="25">
        <f t="shared" si="3"/>
        <v>0</v>
      </c>
      <c r="J81" s="190">
        <f t="shared" si="4"/>
        <v>0</v>
      </c>
      <c r="K81" s="351">
        <v>0</v>
      </c>
      <c r="L81" s="190">
        <f t="shared" si="5"/>
        <v>0</v>
      </c>
      <c r="M81" s="352">
        <v>0</v>
      </c>
      <c r="N81" s="190">
        <f>+'2-Incentive ROE'!K$38*'1-Project Rev Req'!M81/100</f>
        <v>0</v>
      </c>
      <c r="O81" s="190">
        <f t="shared" si="6"/>
        <v>0</v>
      </c>
      <c r="P81" s="59">
        <v>0</v>
      </c>
      <c r="Q81" s="192">
        <f t="shared" si="2"/>
        <v>0</v>
      </c>
      <c r="R81" s="351">
        <v>0</v>
      </c>
      <c r="S81" s="192">
        <f t="shared" si="7"/>
        <v>0</v>
      </c>
    </row>
    <row r="82" spans="1:19" ht="12.75">
      <c r="A82" s="354"/>
      <c r="C82" s="259"/>
      <c r="D82" s="259"/>
      <c r="E82" s="351">
        <v>0</v>
      </c>
      <c r="F82" s="25">
        <f t="shared" si="0"/>
        <v>0</v>
      </c>
      <c r="G82" s="190">
        <f t="shared" si="1"/>
        <v>0</v>
      </c>
      <c r="H82" s="351">
        <v>0</v>
      </c>
      <c r="I82" s="25">
        <f t="shared" si="3"/>
        <v>0</v>
      </c>
      <c r="J82" s="190">
        <f t="shared" si="4"/>
        <v>0</v>
      </c>
      <c r="K82" s="351">
        <v>0</v>
      </c>
      <c r="L82" s="190">
        <f t="shared" si="5"/>
        <v>0</v>
      </c>
      <c r="M82" s="352">
        <v>0</v>
      </c>
      <c r="N82" s="190">
        <f>+'2-Incentive ROE'!K$38*'1-Project Rev Req'!M82/100</f>
        <v>0</v>
      </c>
      <c r="O82" s="190">
        <f t="shared" si="6"/>
        <v>0</v>
      </c>
      <c r="P82" s="59">
        <v>0</v>
      </c>
      <c r="Q82" s="192">
        <f t="shared" si="2"/>
        <v>0</v>
      </c>
      <c r="R82" s="351">
        <v>0</v>
      </c>
      <c r="S82" s="192">
        <f t="shared" si="7"/>
        <v>0</v>
      </c>
    </row>
    <row r="83" spans="1:19" ht="12.75">
      <c r="A83" s="354"/>
      <c r="C83" s="259"/>
      <c r="D83" s="259"/>
      <c r="E83" s="351">
        <v>0</v>
      </c>
      <c r="F83" s="25">
        <f t="shared" si="0"/>
        <v>0</v>
      </c>
      <c r="G83" s="190">
        <f t="shared" si="1"/>
        <v>0</v>
      </c>
      <c r="H83" s="351">
        <v>0</v>
      </c>
      <c r="I83" s="25">
        <f t="shared" si="3"/>
        <v>0</v>
      </c>
      <c r="J83" s="190">
        <f t="shared" si="4"/>
        <v>0</v>
      </c>
      <c r="K83" s="351">
        <v>0</v>
      </c>
      <c r="L83" s="190">
        <f t="shared" si="5"/>
        <v>0</v>
      </c>
      <c r="M83" s="352">
        <v>0</v>
      </c>
      <c r="N83" s="190">
        <f>+'2-Incentive ROE'!K$38*'1-Project Rev Req'!M83/100</f>
        <v>0</v>
      </c>
      <c r="O83" s="190">
        <f t="shared" si="6"/>
        <v>0</v>
      </c>
      <c r="P83" s="59">
        <v>0</v>
      </c>
      <c r="Q83" s="192">
        <f t="shared" si="2"/>
        <v>0</v>
      </c>
      <c r="R83" s="351">
        <v>0</v>
      </c>
      <c r="S83" s="192">
        <f t="shared" si="7"/>
        <v>0</v>
      </c>
    </row>
    <row r="84" spans="1:19" ht="12.75">
      <c r="A84" s="354"/>
      <c r="C84" s="259"/>
      <c r="D84" s="259"/>
      <c r="E84" s="351">
        <v>0</v>
      </c>
      <c r="F84" s="25">
        <f t="shared" si="0"/>
        <v>0</v>
      </c>
      <c r="G84" s="190">
        <f t="shared" si="1"/>
        <v>0</v>
      </c>
      <c r="H84" s="351">
        <v>0</v>
      </c>
      <c r="I84" s="25">
        <f t="shared" si="3"/>
        <v>0</v>
      </c>
      <c r="J84" s="190">
        <f t="shared" si="4"/>
        <v>0</v>
      </c>
      <c r="K84" s="351">
        <v>0</v>
      </c>
      <c r="L84" s="190">
        <f t="shared" si="5"/>
        <v>0</v>
      </c>
      <c r="M84" s="352">
        <v>0</v>
      </c>
      <c r="N84" s="190">
        <f>+'2-Incentive ROE'!K$38*'1-Project Rev Req'!M84/100</f>
        <v>0</v>
      </c>
      <c r="O84" s="190">
        <f t="shared" si="6"/>
        <v>0</v>
      </c>
      <c r="P84" s="59">
        <v>0</v>
      </c>
      <c r="Q84" s="192">
        <f t="shared" si="2"/>
        <v>0</v>
      </c>
      <c r="R84" s="351">
        <v>0</v>
      </c>
      <c r="S84" s="192">
        <f t="shared" si="7"/>
        <v>0</v>
      </c>
    </row>
    <row r="85" spans="1:19" ht="12.75">
      <c r="A85" s="168"/>
      <c r="B85" s="170"/>
      <c r="C85" s="170"/>
      <c r="D85" s="170"/>
      <c r="E85" s="170"/>
      <c r="F85" s="170"/>
      <c r="G85" s="194"/>
      <c r="H85" s="170"/>
      <c r="I85" s="170"/>
      <c r="J85" s="194"/>
      <c r="K85" s="170"/>
      <c r="L85" s="355"/>
      <c r="M85" s="356"/>
      <c r="N85" s="357"/>
      <c r="O85" s="357"/>
      <c r="P85" s="358"/>
      <c r="Q85" s="357"/>
      <c r="R85" s="170"/>
      <c r="S85" s="359">
        <f t="shared" si="7"/>
        <v>0</v>
      </c>
    </row>
    <row r="86" spans="1:19" ht="12.75">
      <c r="A86" s="214" t="s">
        <v>360</v>
      </c>
      <c r="B86" s="234"/>
      <c r="C86" s="161" t="s">
        <v>380</v>
      </c>
      <c r="D86" s="161"/>
      <c r="E86" s="114"/>
      <c r="F86" s="4"/>
      <c r="G86" s="160"/>
      <c r="H86" s="114"/>
      <c r="I86" s="160"/>
      <c r="J86" s="160"/>
      <c r="K86" s="160"/>
      <c r="L86" s="25"/>
      <c r="M86" s="238"/>
      <c r="N86" s="5"/>
      <c r="O86" s="5"/>
      <c r="P86" s="5">
        <f t="shared" si="8" ref="P86:S86">SUM(P66:P85)</f>
        <v>0</v>
      </c>
      <c r="Q86" s="5"/>
      <c r="R86" s="5"/>
      <c r="S86" s="5">
        <f t="shared" si="8"/>
        <v>0</v>
      </c>
    </row>
    <row r="87" spans="5:12" ht="12.75">
      <c r="E87" s="5"/>
      <c r="F87" s="5"/>
      <c r="G87" s="5"/>
      <c r="H87" s="5"/>
      <c r="I87" s="5"/>
      <c r="J87" s="5"/>
      <c r="K87" s="5"/>
      <c r="L87" s="25"/>
    </row>
    <row r="88" spans="1:20" ht="12.75">
      <c r="A88" s="360"/>
      <c r="E88" s="5"/>
      <c r="F88" s="5"/>
      <c r="G88" s="5"/>
      <c r="H88" s="5"/>
      <c r="I88" s="5"/>
      <c r="J88" s="5"/>
      <c r="K88" s="5"/>
      <c r="L88" s="25"/>
      <c r="M88" s="238"/>
      <c r="N88" s="238"/>
      <c r="O88" s="238"/>
      <c r="T88" s="361">
        <f>+'Attachment H'!I170</f>
        <v>-32566.370906923814</v>
      </c>
    </row>
    <row r="89" spans="11:20" ht="12.75">
      <c r="K89" s="234"/>
      <c r="L89" s="234"/>
      <c r="M89" s="234"/>
      <c r="N89" s="234"/>
      <c r="O89" s="234"/>
      <c r="T89" s="361">
        <f>-S86</f>
        <v>0</v>
      </c>
    </row>
    <row r="90" spans="11:20" ht="12.75">
      <c r="K90" s="234"/>
      <c r="L90" s="234"/>
      <c r="M90" s="234"/>
      <c r="N90" s="234"/>
      <c r="O90" s="234"/>
      <c r="T90" s="361">
        <f>+T88+T89</f>
        <v>-32566.370906923814</v>
      </c>
    </row>
    <row r="91" spans="1:20" ht="12.75">
      <c r="A91" s="1" t="s">
        <v>381</v>
      </c>
      <c r="T91" s="361">
        <f>+'11-Wholesale Distribution'!M87</f>
        <v>0</v>
      </c>
    </row>
    <row r="92" spans="1:20" ht="13.5" thickBot="1">
      <c r="A92" s="30" t="s">
        <v>382</v>
      </c>
      <c r="T92" s="361">
        <f>+T90-T91</f>
        <v>-32566.370906923814</v>
      </c>
    </row>
    <row r="93" spans="1:20" ht="12.75">
      <c r="A93" s="208" t="s">
        <v>236</v>
      </c>
      <c r="C93" s="1040" t="s">
        <v>383</v>
      </c>
      <c r="D93" s="1040"/>
      <c r="E93" s="1040"/>
      <c r="F93" s="1040"/>
      <c r="G93" s="1040"/>
      <c r="H93" s="1040"/>
      <c r="I93" s="1040"/>
      <c r="J93" s="1040"/>
      <c r="K93" s="1040"/>
      <c r="L93" s="1040"/>
      <c r="M93" s="1040"/>
      <c r="N93" s="1040"/>
      <c r="O93" s="1040"/>
      <c r="P93" s="1040"/>
      <c r="Q93" s="1040"/>
      <c r="T93" s="361"/>
    </row>
    <row r="94" spans="1:17" ht="12.75">
      <c r="A94" s="208" t="s">
        <v>238</v>
      </c>
      <c r="C94" s="1040" t="s">
        <v>618</v>
      </c>
      <c r="D94" s="1040"/>
      <c r="E94" s="1040"/>
      <c r="F94" s="1040"/>
      <c r="G94" s="1040"/>
      <c r="H94" s="1040"/>
      <c r="I94" s="1040"/>
      <c r="J94" s="1040"/>
      <c r="K94" s="1040"/>
      <c r="L94" s="1040"/>
      <c r="M94" s="1040"/>
      <c r="N94" s="1040"/>
      <c r="O94" s="1040"/>
      <c r="P94" s="1040"/>
      <c r="Q94" s="1040"/>
    </row>
    <row r="95" spans="1:17" ht="12.75">
      <c r="A95" s="208" t="s">
        <v>251</v>
      </c>
      <c r="C95" s="1026" t="s">
        <v>385</v>
      </c>
      <c r="D95" s="1026"/>
      <c r="E95" s="1026"/>
      <c r="F95" s="1026"/>
      <c r="G95" s="1026"/>
      <c r="H95" s="1026"/>
      <c r="I95" s="1026"/>
      <c r="J95" s="1026"/>
      <c r="K95" s="1026"/>
      <c r="L95" s="1026"/>
      <c r="M95" s="1026"/>
      <c r="N95" s="1026"/>
      <c r="O95" s="1026"/>
      <c r="P95" s="1026"/>
      <c r="Q95" s="1026"/>
    </row>
    <row r="96" spans="3:3" ht="12.75">
      <c r="C96" s="1" t="s">
        <v>386</v>
      </c>
    </row>
    <row r="97" spans="1:17" ht="12.75">
      <c r="A97" s="208" t="s">
        <v>252</v>
      </c>
      <c r="C97" s="1026" t="s">
        <v>619</v>
      </c>
      <c r="D97" s="1026"/>
      <c r="E97" s="1026"/>
      <c r="F97" s="1026"/>
      <c r="G97" s="1026"/>
      <c r="H97" s="1026"/>
      <c r="I97" s="1026"/>
      <c r="J97" s="1026"/>
      <c r="K97" s="1026"/>
      <c r="L97" s="1026"/>
      <c r="M97" s="1026"/>
      <c r="N97" s="1026"/>
      <c r="O97" s="1026"/>
      <c r="P97" s="1026"/>
      <c r="Q97" s="1026"/>
    </row>
    <row r="98" spans="1:17" ht="12.75">
      <c r="A98" s="4" t="s">
        <v>253</v>
      </c>
      <c r="C98" s="1038" t="s">
        <v>388</v>
      </c>
      <c r="D98" s="1038"/>
      <c r="E98" s="1038"/>
      <c r="F98" s="1038"/>
      <c r="G98" s="1038"/>
      <c r="H98" s="1038"/>
      <c r="I98" s="1038"/>
      <c r="J98" s="1038"/>
      <c r="K98" s="1038"/>
      <c r="L98" s="1038"/>
      <c r="M98" s="1038"/>
      <c r="N98" s="1038"/>
      <c r="O98" s="1038"/>
      <c r="P98" s="1038"/>
      <c r="Q98" s="1038"/>
    </row>
    <row r="99" spans="1:17" ht="12.75">
      <c r="A99" s="4" t="s">
        <v>254</v>
      </c>
      <c r="C99" s="1038" t="s">
        <v>620</v>
      </c>
      <c r="D99" s="1038"/>
      <c r="E99" s="1038"/>
      <c r="F99" s="1038"/>
      <c r="G99" s="1038"/>
      <c r="H99" s="1038"/>
      <c r="I99" s="1038"/>
      <c r="J99" s="1038"/>
      <c r="K99" s="1038"/>
      <c r="L99" s="1038"/>
      <c r="M99" s="1038"/>
      <c r="N99" s="1038"/>
      <c r="O99" s="1038"/>
      <c r="P99" s="1038"/>
      <c r="Q99" s="1038"/>
    </row>
    <row r="100" spans="1:17" ht="12.75">
      <c r="A100" s="4" t="s">
        <v>255</v>
      </c>
      <c r="C100" s="1038" t="s">
        <v>621</v>
      </c>
      <c r="D100" s="1038"/>
      <c r="E100" s="1038"/>
      <c r="F100" s="1038"/>
      <c r="G100" s="1038"/>
      <c r="H100" s="1038"/>
      <c r="I100" s="1038"/>
      <c r="J100" s="1038"/>
      <c r="K100" s="1038"/>
      <c r="L100" s="1038"/>
      <c r="M100" s="1038"/>
      <c r="N100" s="1038"/>
      <c r="O100" s="1038"/>
      <c r="P100" s="1038"/>
      <c r="Q100" s="1038"/>
    </row>
    <row r="101" spans="1:17" ht="12.75">
      <c r="A101" s="4" t="s">
        <v>256</v>
      </c>
      <c r="C101" s="1038" t="s">
        <v>389</v>
      </c>
      <c r="D101" s="1038"/>
      <c r="E101" s="1038"/>
      <c r="F101" s="1038"/>
      <c r="G101" s="1038"/>
      <c r="H101" s="1038"/>
      <c r="I101" s="1038"/>
      <c r="J101" s="1038"/>
      <c r="K101" s="1038"/>
      <c r="L101" s="1038"/>
      <c r="M101" s="1038"/>
      <c r="N101" s="1038"/>
      <c r="O101" s="1038"/>
      <c r="P101" s="1038"/>
      <c r="Q101" s="1038"/>
    </row>
    <row r="102" spans="1:3" ht="12.75">
      <c r="A102" s="4" t="s">
        <v>257</v>
      </c>
      <c r="C102" s="1" t="s">
        <v>390</v>
      </c>
    </row>
    <row r="103" spans="1:17" ht="12.75">
      <c r="A103" s="214" t="s">
        <v>258</v>
      </c>
      <c r="C103" s="241" t="s">
        <v>622</v>
      </c>
      <c r="D103" s="214"/>
      <c r="E103" s="4"/>
      <c r="F103" s="4"/>
      <c r="G103" s="160"/>
      <c r="J103" s="227"/>
      <c r="P103" s="160"/>
      <c r="Q103" s="210"/>
    </row>
    <row r="104" spans="1:17" ht="12.75">
      <c r="A104" s="214" t="s">
        <v>560</v>
      </c>
      <c r="C104" s="1" t="s">
        <v>623</v>
      </c>
      <c r="D104" s="214"/>
      <c r="E104" s="4"/>
      <c r="F104" s="4"/>
      <c r="G104" s="160"/>
      <c r="J104" s="227"/>
      <c r="P104" s="160"/>
      <c r="Q104" s="224"/>
    </row>
    <row r="105" spans="1:3" ht="12.75">
      <c r="A105" s="4" t="s">
        <v>564</v>
      </c>
      <c r="C105" s="1" t="s">
        <v>624</v>
      </c>
    </row>
    <row r="106" spans="1:3" ht="12.75">
      <c r="A106" s="4" t="s">
        <v>625</v>
      </c>
      <c r="C106" s="1" t="s">
        <v>626</v>
      </c>
    </row>
    <row r="107" spans="1:3" ht="12.75">
      <c r="A107" s="4" t="s">
        <v>568</v>
      </c>
      <c r="C107" s="1" t="s">
        <v>627</v>
      </c>
    </row>
    <row r="108" spans="3:3" ht="12.75">
      <c r="C108" s="1" t="s">
        <v>628</v>
      </c>
    </row>
    <row r="109" spans="3:7" ht="15.75">
      <c r="C109" s="1039"/>
      <c r="D109" s="1039"/>
      <c r="E109" s="1039"/>
      <c r="F109" s="1039"/>
      <c r="G109" s="1039"/>
    </row>
  </sheetData>
  <mergeCells count="9">
    <mergeCell ref="C100:Q100"/>
    <mergeCell ref="C101:Q101"/>
    <mergeCell ref="C109:G109"/>
    <mergeCell ref="C93:Q93"/>
    <mergeCell ref="C94:Q94"/>
    <mergeCell ref="C95:Q95"/>
    <mergeCell ref="C97:Q97"/>
    <mergeCell ref="C98:Q98"/>
    <mergeCell ref="C99:Q99"/>
  </mergeCells>
  <pageMargins left="0.25" right="0.25" top="0.75" bottom="0.75" header="0.3" footer="0.3"/>
  <pageSetup fitToHeight="2" fitToWidth="2" horizontalDpi="300" verticalDpi="300" orientation="landscape" scale="38" r:id="rId1"/>
  <rowBreaks count="1" manualBreakCount="1">
    <brk id="50" max="1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09EB-B1AB-46A8-9357-EBEA9FDCD7CB}">
  <dimension ref="A1:K46"/>
  <sheetViews>
    <sheetView view="pageBreakPreview" zoomScale="75" zoomScaleNormal="100" zoomScaleSheetLayoutView="75" workbookViewId="0" topLeftCell="A1"/>
  </sheetViews>
  <sheetFormatPr defaultRowHeight="16.2"/>
  <cols>
    <col min="1" max="1" width="7.11111111111111" style="3" customWidth="1"/>
    <col min="2" max="2" width="27.6666666666667" style="362" customWidth="1"/>
    <col min="3" max="3" width="39.3333333333333" style="362" customWidth="1"/>
    <col min="4" max="4" width="32.4444444444444" style="362" customWidth="1"/>
    <col min="5" max="5" width="12.6666666666667" style="362" customWidth="1"/>
    <col min="6" max="6" width="8.44444444444444" style="362" customWidth="1"/>
    <col min="7" max="7" width="11.5555555555556" style="362" bestFit="1" customWidth="1"/>
    <col min="8" max="8" width="7.55555555555556" style="362" bestFit="1" customWidth="1"/>
    <col min="9" max="9" width="15.8888888888889" style="362" customWidth="1"/>
    <col min="10" max="10" width="31" style="374" bestFit="1" customWidth="1"/>
    <col min="11" max="11" width="16.1111111111111" style="2" customWidth="1"/>
    <col min="12" max="16384" width="9.11111111111111" style="2"/>
  </cols>
  <sheetData>
    <row r="1" spans="3:10" ht="15.75">
      <c r="C1" s="363"/>
      <c r="D1" s="363"/>
      <c r="E1" s="363"/>
      <c r="F1" s="364"/>
      <c r="G1" s="363"/>
      <c r="H1" s="363"/>
      <c r="I1" s="363"/>
      <c r="J1" s="365"/>
    </row>
    <row r="2" spans="2:10" ht="15.75">
      <c r="B2" s="3"/>
      <c r="C2" s="363"/>
      <c r="D2" s="363"/>
      <c r="E2" s="363"/>
      <c r="F2" s="364"/>
      <c r="G2" s="363"/>
      <c r="H2" s="363"/>
      <c r="I2" s="363"/>
      <c r="J2" s="365"/>
    </row>
    <row r="3" spans="3:11" ht="15.75">
      <c r="C3" s="363"/>
      <c r="D3" s="366" t="s">
        <v>30</v>
      </c>
      <c r="E3" s="366"/>
      <c r="F3" s="367" t="s">
        <v>629</v>
      </c>
      <c r="H3" s="366"/>
      <c r="I3" s="366"/>
      <c r="J3" s="363"/>
      <c r="K3" s="368" t="s">
        <v>240</v>
      </c>
    </row>
    <row r="4" spans="2:10" ht="15.75">
      <c r="B4" s="369"/>
      <c r="C4" s="369"/>
      <c r="D4" s="369"/>
      <c r="E4" s="369"/>
      <c r="F4" s="370" t="s">
        <v>630</v>
      </c>
      <c r="H4" s="369"/>
      <c r="I4" s="369"/>
      <c r="J4" s="369"/>
    </row>
    <row r="5" spans="2:11" ht="15.75">
      <c r="B5" s="369"/>
      <c r="C5" s="369"/>
      <c r="D5" s="369"/>
      <c r="F5" s="371" t="str">
        <f>+'Attachment H'!D5</f>
        <v>GridLiance High Plains LLC</v>
      </c>
      <c r="H5" s="369"/>
      <c r="I5" s="369"/>
      <c r="J5" s="369"/>
      <c r="K5" s="369"/>
    </row>
    <row r="7" spans="1:11" ht="15.75">
      <c r="A7" s="3">
        <v>1</v>
      </c>
      <c r="B7" s="362" t="s">
        <v>631</v>
      </c>
      <c r="C7" s="362" t="s">
        <v>632</v>
      </c>
      <c r="J7" s="372">
        <f>IF('Attachment H'!I106&gt;0,'Attachment H'!I106,0)</f>
        <v>0</v>
      </c>
      <c r="K7" s="373">
        <f>+'Attachment H'!I106</f>
        <v>-416086.32432725426</v>
      </c>
    </row>
    <row r="8" spans="10:11" ht="15.75">
      <c r="J8" s="362"/>
      <c r="K8" s="374"/>
    </row>
    <row r="9" spans="1:11" ht="16.5" thickBot="1">
      <c r="A9" s="375">
        <f>+A7+1</f>
        <v>2</v>
      </c>
      <c r="B9" s="376" t="s">
        <v>633</v>
      </c>
      <c r="C9" s="377"/>
      <c r="D9" s="377"/>
      <c r="E9" s="377"/>
      <c r="F9" s="377"/>
      <c r="G9" s="377"/>
      <c r="H9" s="377"/>
      <c r="I9" s="377"/>
      <c r="J9" s="378" t="s">
        <v>148</v>
      </c>
      <c r="K9" s="374"/>
    </row>
    <row r="10" spans="1:11" ht="15.75">
      <c r="A10" s="375"/>
      <c r="B10" s="379"/>
      <c r="C10" s="377"/>
      <c r="D10" s="377"/>
      <c r="E10" s="377"/>
      <c r="F10" s="377"/>
      <c r="G10" s="377"/>
      <c r="H10" s="380" t="s">
        <v>170</v>
      </c>
      <c r="I10" s="377"/>
      <c r="J10" s="377"/>
      <c r="K10" s="374"/>
    </row>
    <row r="11" spans="1:11" ht="16.5" thickBot="1">
      <c r="A11" s="375"/>
      <c r="B11" s="379"/>
      <c r="C11" s="377"/>
      <c r="D11" s="377"/>
      <c r="E11" s="381" t="s">
        <v>148</v>
      </c>
      <c r="F11" s="381" t="s">
        <v>169</v>
      </c>
      <c r="G11" s="377"/>
      <c r="H11" s="381"/>
      <c r="I11" s="377"/>
      <c r="J11" s="381" t="s">
        <v>171</v>
      </c>
      <c r="K11" s="374"/>
    </row>
    <row r="12" spans="1:11" ht="15.75">
      <c r="A12" s="375">
        <f>+A9+1</f>
        <v>3</v>
      </c>
      <c r="B12" s="376" t="s">
        <v>172</v>
      </c>
      <c r="C12" s="382" t="s">
        <v>634</v>
      </c>
      <c r="D12" s="382"/>
      <c r="E12" s="383">
        <v>0</v>
      </c>
      <c r="F12" s="384">
        <v>0</v>
      </c>
      <c r="G12" s="372"/>
      <c r="H12" s="384">
        <v>0</v>
      </c>
      <c r="I12" s="372"/>
      <c r="J12" s="372">
        <f>F12*H12</f>
        <v>0</v>
      </c>
      <c r="K12" s="374"/>
    </row>
    <row r="13" spans="1:11" ht="15.75">
      <c r="A13" s="375">
        <f>+A12+1</f>
        <v>4</v>
      </c>
      <c r="B13" s="376" t="s">
        <v>635</v>
      </c>
      <c r="C13" s="382" t="s">
        <v>634</v>
      </c>
      <c r="D13" s="382"/>
      <c r="E13" s="383">
        <v>0</v>
      </c>
      <c r="F13" s="384">
        <v>0</v>
      </c>
      <c r="G13" s="372"/>
      <c r="H13" s="384">
        <v>0</v>
      </c>
      <c r="I13" s="372"/>
      <c r="J13" s="372">
        <f>F13*H13</f>
        <v>0</v>
      </c>
      <c r="K13" s="374"/>
    </row>
    <row r="14" spans="1:11" ht="32.25" thickBot="1">
      <c r="A14" s="375">
        <f>+A13+1</f>
        <v>5</v>
      </c>
      <c r="B14" s="376" t="s">
        <v>175</v>
      </c>
      <c r="C14" s="382" t="s">
        <v>636</v>
      </c>
      <c r="D14" s="385" t="s">
        <v>637</v>
      </c>
      <c r="E14" s="383">
        <v>0</v>
      </c>
      <c r="F14" s="384">
        <v>0</v>
      </c>
      <c r="G14" s="372"/>
      <c r="H14" s="386">
        <v>0.108</v>
      </c>
      <c r="I14" s="372"/>
      <c r="J14" s="387">
        <f>F14*H14</f>
        <v>0</v>
      </c>
      <c r="K14" s="374"/>
    </row>
    <row r="15" spans="1:11" ht="15.75">
      <c r="A15" s="375">
        <f>+A14+1</f>
        <v>6</v>
      </c>
      <c r="B15" s="379" t="s">
        <v>638</v>
      </c>
      <c r="C15" s="382"/>
      <c r="D15" s="382"/>
      <c r="E15" s="388">
        <f>SUM(E12:E14)</f>
        <v>0</v>
      </c>
      <c r="F15" s="372" t="s">
        <v>30</v>
      </c>
      <c r="G15" s="372"/>
      <c r="H15" s="372"/>
      <c r="I15" s="372"/>
      <c r="J15" s="372">
        <f>SUM(J12:J14)</f>
        <v>0</v>
      </c>
      <c r="K15" s="374"/>
    </row>
    <row r="16" spans="1:11" ht="15.75">
      <c r="A16" s="375">
        <f t="shared" si="0" ref="A16:A38">+A15+1</f>
        <v>7</v>
      </c>
      <c r="B16" s="379" t="s">
        <v>639</v>
      </c>
      <c r="C16" s="382"/>
      <c r="D16" s="382"/>
      <c r="E16" s="388"/>
      <c r="F16" s="377"/>
      <c r="G16" s="377"/>
      <c r="H16" s="377"/>
      <c r="I16" s="377"/>
      <c r="J16" s="372"/>
      <c r="K16" s="372">
        <f>+J15*K7</f>
        <v>0</v>
      </c>
    </row>
    <row r="17" spans="1:11" ht="15.75">
      <c r="A17" s="375"/>
      <c r="J17" s="362"/>
      <c r="K17" s="374"/>
    </row>
    <row r="18" spans="1:11" ht="15.75">
      <c r="A18" s="375">
        <f>+A16+1</f>
        <v>8</v>
      </c>
      <c r="B18" s="379" t="s">
        <v>124</v>
      </c>
      <c r="C18" s="377"/>
      <c r="D18" s="377"/>
      <c r="E18" s="377"/>
      <c r="F18" s="377"/>
      <c r="G18" s="382"/>
      <c r="H18" s="389"/>
      <c r="I18" s="377"/>
      <c r="J18" s="382"/>
      <c r="K18" s="374"/>
    </row>
    <row r="19" spans="1:11" ht="15.75">
      <c r="A19" s="375">
        <f t="shared" si="0"/>
        <v>9</v>
      </c>
      <c r="B19" s="390" t="s">
        <v>640</v>
      </c>
      <c r="C19" s="377"/>
      <c r="D19" s="38" t="s">
        <v>641</v>
      </c>
      <c r="E19" s="81">
        <f>'13 - Income Tax Allowance '!M28</f>
        <v>0.14094047754659902</v>
      </c>
      <c r="F19" s="81"/>
      <c r="G19" s="382"/>
      <c r="H19" s="389"/>
      <c r="I19" s="377"/>
      <c r="J19" s="382"/>
      <c r="K19" s="374"/>
    </row>
    <row r="20" spans="1:11" ht="15.75">
      <c r="A20" s="375">
        <f>+A19+1</f>
        <v>10</v>
      </c>
      <c r="B20" s="379"/>
      <c r="C20" s="377"/>
      <c r="D20" s="377"/>
      <c r="E20" s="377"/>
      <c r="F20" s="377"/>
      <c r="G20" s="382"/>
      <c r="H20" s="389"/>
      <c r="I20" s="377"/>
      <c r="J20" s="382"/>
      <c r="K20" s="374"/>
    </row>
    <row r="21" spans="1:11" ht="15.75">
      <c r="A21" s="375">
        <f t="shared" si="0"/>
        <v>11</v>
      </c>
      <c r="B21" s="390" t="str">
        <f>"      1 / (1 - T)  =  (from line "&amp;A19&amp;")"</f>
        <v xml:space="preserve">      1 / (1 - T)  =  (from line 9)</v>
      </c>
      <c r="C21" s="377"/>
      <c r="D21" s="377"/>
      <c r="E21" s="81">
        <f>IF(E19&gt;0,1/(1-E19),0)</f>
        <v>1.1640636927509806</v>
      </c>
      <c r="F21" s="377"/>
      <c r="G21" s="382"/>
      <c r="H21" s="389"/>
      <c r="I21" s="377"/>
      <c r="J21" s="382"/>
      <c r="K21" s="374"/>
    </row>
    <row r="22" spans="1:11" ht="15.75">
      <c r="A22" s="375">
        <f t="shared" si="0"/>
        <v>12</v>
      </c>
      <c r="B22" s="379" t="s">
        <v>642</v>
      </c>
      <c r="C22" s="377"/>
      <c r="D22" s="377" t="s">
        <v>643</v>
      </c>
      <c r="E22" s="391">
        <f>+'Attachment H'!D158</f>
        <v>0</v>
      </c>
      <c r="F22" s="377"/>
      <c r="G22" s="382"/>
      <c r="H22" s="389"/>
      <c r="I22" s="377"/>
      <c r="J22" s="382"/>
      <c r="K22" s="374"/>
    </row>
    <row r="23" spans="1:11" ht="15.75">
      <c r="A23" s="375">
        <f t="shared" si="0"/>
        <v>13</v>
      </c>
      <c r="B23" s="379" t="s">
        <v>644</v>
      </c>
      <c r="C23" s="377"/>
      <c r="D23" s="377" t="s">
        <v>645</v>
      </c>
      <c r="E23" s="391">
        <f>+'Attachment H'!D159</f>
        <v>-1230</v>
      </c>
      <c r="F23" s="377"/>
      <c r="G23" s="382"/>
      <c r="H23" s="373"/>
      <c r="I23" s="377"/>
      <c r="J23" s="382"/>
      <c r="K23" s="374"/>
    </row>
    <row r="24" spans="1:11" ht="15.75">
      <c r="A24" s="375">
        <f t="shared" si="0"/>
        <v>14</v>
      </c>
      <c r="B24" s="379" t="s">
        <v>646</v>
      </c>
      <c r="C24" s="377"/>
      <c r="D24" s="377" t="s">
        <v>647</v>
      </c>
      <c r="E24" s="391">
        <f>+'Attachment H'!D160</f>
        <v>99.789562906907705</v>
      </c>
      <c r="F24" s="377"/>
      <c r="G24" s="382"/>
      <c r="H24" s="389"/>
      <c r="I24" s="377"/>
      <c r="J24" s="382"/>
      <c r="K24" s="374"/>
    </row>
    <row r="25" spans="1:11" ht="15.75">
      <c r="A25" s="375">
        <f t="shared" si="0"/>
        <v>15</v>
      </c>
      <c r="B25" s="390" t="s">
        <v>648</v>
      </c>
      <c r="C25" s="392"/>
      <c r="D25" s="377" t="s">
        <v>649</v>
      </c>
      <c r="E25" s="391">
        <f>+'Attachment H'!I161</f>
        <v>-4013.9619416919199</v>
      </c>
      <c r="F25" s="393"/>
      <c r="G25" s="393" t="s">
        <v>45</v>
      </c>
      <c r="H25" s="394"/>
      <c r="I25" s="393"/>
      <c r="J25" s="391">
        <f>+E25</f>
        <v>-4013.9619416919199</v>
      </c>
      <c r="K25" s="374"/>
    </row>
    <row r="26" spans="1:11" ht="15.75">
      <c r="A26" s="375">
        <f t="shared" si="0"/>
        <v>16</v>
      </c>
      <c r="B26" s="382" t="str">
        <f>"ITC adjustment (line "&amp;A21&amp;" * line "&amp;A22&amp;")"</f>
        <v>ITC adjustment (line 11 * line 12)</v>
      </c>
      <c r="C26" s="392"/>
      <c r="D26" s="392"/>
      <c r="E26" s="391">
        <f>+E$21*E22</f>
        <v>0</v>
      </c>
      <c r="F26" s="393"/>
      <c r="G26" s="395" t="s">
        <v>74</v>
      </c>
      <c r="H26" s="372">
        <f>+'Attachment H'!G84</f>
        <v>0</v>
      </c>
      <c r="I26" s="393"/>
      <c r="J26" s="391">
        <f>+E26*H26</f>
        <v>0</v>
      </c>
      <c r="K26" s="374"/>
    </row>
    <row r="27" spans="1:11" ht="15.75">
      <c r="A27" s="375">
        <f t="shared" si="0"/>
        <v>17</v>
      </c>
      <c r="B27" s="382" t="str">
        <f>"(Excess)/Deficient Deferred Income Tax Adjustment (line "&amp;A21&amp;" * line "&amp;A23&amp;")"</f>
        <v>(Excess)/Deficient Deferred Income Tax Adjustment (line 11 * line 13)</v>
      </c>
      <c r="C27" s="392"/>
      <c r="D27" s="392"/>
      <c r="E27" s="391">
        <f>+E$21*E23</f>
        <v>-1431.7983420837063</v>
      </c>
      <c r="F27" s="393"/>
      <c r="G27" s="395" t="s">
        <v>74</v>
      </c>
      <c r="H27" s="372">
        <f>H26</f>
        <v>0</v>
      </c>
      <c r="I27" s="393"/>
      <c r="J27" s="391">
        <f>+E27*H27</f>
        <v>0</v>
      </c>
      <c r="K27" s="374"/>
    </row>
    <row r="28" spans="1:11" ht="15.75">
      <c r="A28" s="375">
        <f t="shared" si="0"/>
        <v>18</v>
      </c>
      <c r="B28" s="382" t="str">
        <f>"Permanent Differences Tax Adjustment (line "&amp;A21&amp;" * "&amp;A24&amp;")"</f>
        <v>Permanent Differences Tax Adjustment (line 11 * 14)</v>
      </c>
      <c r="C28" s="392"/>
      <c r="D28" s="392"/>
      <c r="E28" s="396">
        <f>+E$21*E24</f>
        <v>116.16140709542127</v>
      </c>
      <c r="F28" s="393"/>
      <c r="G28" s="395" t="s">
        <v>74</v>
      </c>
      <c r="H28" s="372">
        <f>H27</f>
        <v>0</v>
      </c>
      <c r="I28" s="393"/>
      <c r="J28" s="396">
        <f>+E28*H28</f>
        <v>0</v>
      </c>
      <c r="K28" s="374"/>
    </row>
    <row r="29" spans="1:11" ht="15.75">
      <c r="A29" s="375">
        <f t="shared" si="0"/>
        <v>19</v>
      </c>
      <c r="B29" s="397" t="str">
        <f>"Total Income Taxes (sum lines "&amp;A25&amp;" - "&amp;A28&amp;")"</f>
        <v>Total Income Taxes (sum lines 15 - 18)</v>
      </c>
      <c r="C29" s="382"/>
      <c r="D29" s="382"/>
      <c r="E29" s="391">
        <f>SUM(E25:E28)</f>
        <v>-5329.5988766802047</v>
      </c>
      <c r="F29" s="393"/>
      <c r="G29" s="393" t="s">
        <v>30</v>
      </c>
      <c r="H29" s="394" t="s">
        <v>30</v>
      </c>
      <c r="I29" s="393"/>
      <c r="J29" s="391">
        <f>SUM(J25:J28)</f>
        <v>-4013.9619416919199</v>
      </c>
      <c r="K29" s="372">
        <f>+J29</f>
        <v>-4013.9619416919199</v>
      </c>
    </row>
    <row r="30" spans="1:11" ht="15.75">
      <c r="A30" s="375"/>
      <c r="J30" s="362"/>
      <c r="K30" s="374"/>
    </row>
    <row r="31" spans="1:11" ht="15.75">
      <c r="A31" s="375">
        <f>+A29+1</f>
        <v>20</v>
      </c>
      <c r="B31" s="382" t="s">
        <v>650</v>
      </c>
      <c r="J31" s="362"/>
      <c r="K31" s="372">
        <f>+K29+K16</f>
        <v>-4013.9619416919199</v>
      </c>
    </row>
    <row r="32" spans="1:11" ht="15.75">
      <c r="A32" s="375"/>
      <c r="J32" s="362"/>
      <c r="K32" s="374"/>
    </row>
    <row r="33" spans="1:11" ht="15.75">
      <c r="A33" s="375">
        <f>+A31+1</f>
        <v>21</v>
      </c>
      <c r="B33" s="362" t="s">
        <v>651</v>
      </c>
      <c r="J33" s="362"/>
      <c r="K33" s="372">
        <f>+'Attachment H'!I168</f>
        <v>-28552.408965231894</v>
      </c>
    </row>
    <row r="34" spans="1:11" ht="15.75">
      <c r="A34" s="375">
        <f t="shared" si="0"/>
        <v>22</v>
      </c>
      <c r="B34" s="362" t="s">
        <v>652</v>
      </c>
      <c r="J34" s="362"/>
      <c r="K34" s="372">
        <f>+'Attachment H'!I165</f>
        <v>-4013.9619416919199</v>
      </c>
    </row>
    <row r="35" spans="1:11" ht="15.75">
      <c r="A35" s="375">
        <f t="shared" si="0"/>
        <v>23</v>
      </c>
      <c r="B35" s="382" t="s">
        <v>653</v>
      </c>
      <c r="J35" s="362"/>
      <c r="K35" s="398">
        <f>SUM(K33:K34)</f>
        <v>-32566.370906923814</v>
      </c>
    </row>
    <row r="36" spans="1:11" ht="15.75">
      <c r="A36" s="375">
        <f t="shared" si="0"/>
        <v>24</v>
      </c>
      <c r="B36" s="382" t="s">
        <v>654</v>
      </c>
      <c r="J36" s="362"/>
      <c r="K36" s="372">
        <f>+K31-K35</f>
        <v>28552.408965231894</v>
      </c>
    </row>
    <row r="37" spans="1:11" ht="15.75">
      <c r="A37" s="375">
        <f t="shared" si="0"/>
        <v>25</v>
      </c>
      <c r="B37" s="362" t="s">
        <v>655</v>
      </c>
      <c r="J37" s="362"/>
      <c r="K37" s="399">
        <f>+K7</f>
        <v>-416086.32432725426</v>
      </c>
    </row>
    <row r="38" spans="1:11" ht="15.75">
      <c r="A38" s="375">
        <f t="shared" si="0"/>
        <v>26</v>
      </c>
      <c r="B38" s="362" t="s">
        <v>656</v>
      </c>
      <c r="J38" s="362"/>
      <c r="K38" s="400">
        <f>IF(K37=0,0,K36/K37)</f>
        <v>-0.068621358828355197</v>
      </c>
    </row>
    <row r="39" spans="10:11" ht="15.75">
      <c r="J39" s="362"/>
      <c r="K39" s="374"/>
    </row>
    <row r="40" spans="1:11" ht="15.75">
      <c r="A40" s="3" t="s">
        <v>657</v>
      </c>
      <c r="J40" s="362"/>
      <c r="K40" s="374"/>
    </row>
    <row r="41" spans="1:11" ht="15.75">
      <c r="A41" s="401" t="s">
        <v>236</v>
      </c>
      <c r="B41" s="373" t="s">
        <v>658</v>
      </c>
      <c r="J41" s="362"/>
      <c r="K41" s="374"/>
    </row>
    <row r="42" spans="1:11" ht="15.75">
      <c r="A42" s="401"/>
      <c r="B42" s="362" t="s">
        <v>659</v>
      </c>
      <c r="J42" s="362"/>
      <c r="K42" s="374"/>
    </row>
    <row r="43" spans="1:11" ht="15.75">
      <c r="A43" s="401"/>
      <c r="B43" s="362" t="s">
        <v>660</v>
      </c>
      <c r="J43" s="362"/>
      <c r="K43" s="374"/>
    </row>
    <row r="44" spans="1:11" ht="15.75">
      <c r="A44" s="401"/>
      <c r="B44" s="362" t="s">
        <v>661</v>
      </c>
      <c r="J44" s="362"/>
      <c r="K44" s="374"/>
    </row>
    <row r="45" spans="1:11" ht="15.75">
      <c r="A45" s="401" t="s">
        <v>238</v>
      </c>
      <c r="B45" s="362" t="s">
        <v>662</v>
      </c>
      <c r="J45" s="362"/>
      <c r="K45" s="374"/>
    </row>
    <row r="46" spans="2:11" ht="15.75">
      <c r="B46" s="362" t="s">
        <v>663</v>
      </c>
      <c r="J46" s="362"/>
      <c r="K46" s="374"/>
    </row>
    <row r="66" ht="24" customHeight="1"/>
  </sheetData>
  <pageMargins left="0.7" right="0.7" top="0.75" bottom="0.75" header="0.3" footer="0.3"/>
  <pageSetup orientation="landscape" scale="58"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B22FC-8ABA-468A-A109-6F43EC33B2CE}">
  <sheetPr>
    <pageSetUpPr fitToPage="1"/>
  </sheetPr>
  <dimension ref="A1:M65"/>
  <sheetViews>
    <sheetView view="pageBreakPreview" zoomScale="75" zoomScaleNormal="65" zoomScaleSheetLayoutView="75" workbookViewId="0" topLeftCell="A1"/>
  </sheetViews>
  <sheetFormatPr defaultColWidth="11.4255555555556" defaultRowHeight="13.2"/>
  <cols>
    <col min="1" max="1" width="7.66666666666667" style="1" customWidth="1"/>
    <col min="2" max="2" width="34.8888888888889" style="1" customWidth="1"/>
    <col min="3" max="3" width="14.4444444444444" style="1" customWidth="1"/>
    <col min="4" max="4" width="24" style="1" customWidth="1"/>
    <col min="5" max="5" width="28.5555555555556" style="1" customWidth="1"/>
    <col min="6" max="6" width="19.5555555555556" style="1" customWidth="1"/>
    <col min="7" max="7" width="23.5555555555556" style="1" customWidth="1"/>
    <col min="8" max="8" width="18.5555555555556" style="1" customWidth="1"/>
    <col min="9" max="9" width="23.8888888888889" style="1" customWidth="1"/>
    <col min="10" max="10" width="17.6666666666667" style="1" customWidth="1"/>
    <col min="11" max="11" width="18.5555555555556" style="1" customWidth="1"/>
    <col min="12" max="12" width="17.4444444444444" style="1" customWidth="1"/>
    <col min="13" max="16384" width="11.4444444444444" style="1"/>
  </cols>
  <sheetData>
    <row r="1" spans="10:10" ht="12.75">
      <c r="J1" s="157" t="s">
        <v>240</v>
      </c>
    </row>
    <row r="5" spans="1:12" ht="12.75">
      <c r="A5" s="158"/>
      <c r="D5" s="157"/>
      <c r="E5" s="6" t="s">
        <v>664</v>
      </c>
      <c r="F5" s="157"/>
      <c r="G5" s="157"/>
      <c r="I5" s="157"/>
      <c r="J5" s="157"/>
      <c r="K5" s="157"/>
      <c r="L5" s="157"/>
    </row>
    <row r="6" spans="1:12" ht="12.75">
      <c r="A6" s="158"/>
      <c r="D6" s="157"/>
      <c r="E6" s="159" t="s">
        <v>665</v>
      </c>
      <c r="F6" s="160"/>
      <c r="G6" s="160"/>
      <c r="I6" s="160"/>
      <c r="J6" s="160"/>
      <c r="K6" s="160"/>
      <c r="L6" s="157"/>
    </row>
    <row r="7" spans="1:12" ht="12.75">
      <c r="A7" s="158"/>
      <c r="C7" s="161"/>
      <c r="D7" s="161"/>
      <c r="E7" s="37" t="str">
        <f>+'2-Incentive ROE'!F5</f>
        <v>GridLiance High Plains LLC</v>
      </c>
      <c r="F7" s="161"/>
      <c r="G7" s="161"/>
      <c r="I7" s="161"/>
      <c r="J7" s="161"/>
      <c r="K7" s="161"/>
      <c r="L7" s="161"/>
    </row>
    <row r="8" spans="1:12" s="176" customFormat="1" ht="12.75">
      <c r="A8" s="162"/>
      <c r="B8" s="1"/>
      <c r="C8" s="1"/>
      <c r="D8" s="1"/>
      <c r="E8" s="163"/>
      <c r="F8" s="163"/>
      <c r="G8" s="163"/>
      <c r="H8" s="1"/>
      <c r="I8" s="161"/>
      <c r="J8" s="161"/>
      <c r="K8" s="161"/>
      <c r="L8" s="161"/>
    </row>
    <row r="9" spans="1:12" s="176" customFormat="1" ht="12.75">
      <c r="A9" s="158"/>
      <c r="B9" s="1"/>
      <c r="C9" s="1"/>
      <c r="D9" s="1"/>
      <c r="E9" s="1"/>
      <c r="F9" s="1"/>
      <c r="G9" s="1"/>
      <c r="H9" s="1"/>
      <c r="I9" s="1"/>
      <c r="J9" s="1"/>
      <c r="K9" s="4"/>
      <c r="L9" s="1"/>
    </row>
    <row r="10" spans="1:11" s="176" customFormat="1" ht="12.75">
      <c r="A10" s="158"/>
      <c r="B10" s="1"/>
      <c r="C10" s="1"/>
      <c r="D10" s="1041" t="s">
        <v>244</v>
      </c>
      <c r="E10" s="1042"/>
      <c r="F10" s="164"/>
      <c r="G10" s="165" t="s">
        <v>245</v>
      </c>
      <c r="H10" s="164"/>
      <c r="I10" s="166"/>
      <c r="J10" s="166"/>
      <c r="K10" s="167"/>
    </row>
    <row r="11" spans="1:11" s="176" customFormat="1" ht="15.75">
      <c r="A11" s="158">
        <v>1</v>
      </c>
      <c r="B11" s="1" t="s">
        <v>246</v>
      </c>
      <c r="C11" s="1"/>
      <c r="D11" s="1043" t="s">
        <v>247</v>
      </c>
      <c r="E11" s="1044"/>
      <c r="F11" s="168" t="s">
        <v>248</v>
      </c>
      <c r="G11" s="169" t="s">
        <v>249</v>
      </c>
      <c r="H11" s="168" t="s">
        <v>250</v>
      </c>
      <c r="I11" s="170"/>
      <c r="J11" s="170"/>
      <c r="K11" s="171"/>
    </row>
    <row r="12" spans="1:11" s="176" customFormat="1" ht="12.75">
      <c r="A12" s="158">
        <v>2</v>
      </c>
      <c r="B12" s="24"/>
      <c r="C12" s="1"/>
      <c r="D12" s="173"/>
      <c r="E12" s="173"/>
      <c r="F12" s="174">
        <v>0</v>
      </c>
      <c r="G12" s="175"/>
      <c r="H12" s="173"/>
      <c r="I12" s="173"/>
      <c r="J12" s="173"/>
      <c r="K12" s="164"/>
    </row>
    <row r="13" spans="2:13" s="176" customFormat="1" ht="12.75">
      <c r="B13" s="177" t="s">
        <v>236</v>
      </c>
      <c r="C13" s="177" t="s">
        <v>238</v>
      </c>
      <c r="D13" s="169" t="s">
        <v>251</v>
      </c>
      <c r="E13" s="169" t="s">
        <v>252</v>
      </c>
      <c r="F13" s="165" t="s">
        <v>253</v>
      </c>
      <c r="G13" s="177" t="s">
        <v>254</v>
      </c>
      <c r="H13" s="178" t="s">
        <v>255</v>
      </c>
      <c r="I13" s="178" t="s">
        <v>256</v>
      </c>
      <c r="J13" s="178" t="s">
        <v>257</v>
      </c>
      <c r="K13" s="179" t="s">
        <v>258</v>
      </c>
      <c r="M13" s="4"/>
    </row>
    <row r="14" spans="1:11" s="176" customFormat="1" ht="12.75">
      <c r="A14" s="158"/>
      <c r="B14" s="173"/>
      <c r="C14" s="165"/>
      <c r="D14" s="165"/>
      <c r="E14" s="180" t="s">
        <v>259</v>
      </c>
      <c r="F14" s="165"/>
      <c r="G14" s="165"/>
      <c r="H14" s="173"/>
      <c r="I14" s="165"/>
      <c r="J14" s="173"/>
      <c r="K14" s="173"/>
    </row>
    <row r="15" spans="1:11" s="176" customFormat="1" ht="12.75">
      <c r="A15" s="158"/>
      <c r="B15" s="175"/>
      <c r="C15" s="178"/>
      <c r="D15" s="178" t="s">
        <v>260</v>
      </c>
      <c r="E15" s="179" t="s">
        <v>20</v>
      </c>
      <c r="F15" s="178" t="s">
        <v>261</v>
      </c>
      <c r="G15" s="178" t="s">
        <v>262</v>
      </c>
      <c r="H15" s="178" t="s">
        <v>263</v>
      </c>
      <c r="I15" s="178"/>
      <c r="J15" s="178" t="s">
        <v>264</v>
      </c>
      <c r="K15" s="178"/>
    </row>
    <row r="16" spans="1:11" s="176" customFormat="1" ht="12.75">
      <c r="A16" s="158"/>
      <c r="B16" s="178" t="s">
        <v>265</v>
      </c>
      <c r="C16" s="178"/>
      <c r="D16" s="178" t="s">
        <v>266</v>
      </c>
      <c r="E16" s="179" t="s">
        <v>267</v>
      </c>
      <c r="F16" s="178" t="s">
        <v>268</v>
      </c>
      <c r="G16" s="178" t="s">
        <v>266</v>
      </c>
      <c r="H16" s="178" t="s">
        <v>269</v>
      </c>
      <c r="I16" s="165" t="s">
        <v>270</v>
      </c>
      <c r="J16" s="178" t="s">
        <v>271</v>
      </c>
      <c r="K16" s="178" t="s">
        <v>272</v>
      </c>
    </row>
    <row r="17" spans="1:11" s="176" customFormat="1" ht="15.75">
      <c r="A17" s="158"/>
      <c r="B17" s="169" t="s">
        <v>273</v>
      </c>
      <c r="C17" s="169" t="s">
        <v>274</v>
      </c>
      <c r="D17" s="169" t="s">
        <v>275</v>
      </c>
      <c r="E17" s="179" t="s">
        <v>249</v>
      </c>
      <c r="F17" s="181" t="s">
        <v>276</v>
      </c>
      <c r="G17" s="169" t="s">
        <v>277</v>
      </c>
      <c r="H17" s="169" t="s">
        <v>278</v>
      </c>
      <c r="I17" s="178" t="s">
        <v>279</v>
      </c>
      <c r="J17" s="169" t="s">
        <v>280</v>
      </c>
      <c r="K17" s="169" t="s">
        <v>281</v>
      </c>
    </row>
    <row r="18" spans="1:11" s="176" customFormat="1" ht="12.75">
      <c r="A18" s="158">
        <v>3</v>
      </c>
      <c r="B18" s="175" t="s">
        <v>312</v>
      </c>
      <c r="C18" s="175"/>
      <c r="D18" s="402">
        <v>0</v>
      </c>
      <c r="E18" s="184">
        <f>IF(D$39=0,0,D18/D$39)</f>
        <v>0</v>
      </c>
      <c r="F18" s="403">
        <f>IF(F$12=0,0,#REF!*F$12)</f>
        <v>0</v>
      </c>
      <c r="G18" s="404">
        <v>0</v>
      </c>
      <c r="H18" s="405">
        <f t="shared" si="0" ref="H18:H37">+G18-F18</f>
        <v>0</v>
      </c>
      <c r="I18" s="188">
        <v>0</v>
      </c>
      <c r="J18" s="405">
        <f t="shared" si="1" ref="J18:J37">(H18+I18)*((J$41/12)*24)</f>
        <v>0</v>
      </c>
      <c r="K18" s="405">
        <f>+H18+J18+I18</f>
        <v>0</v>
      </c>
    </row>
    <row r="19" spans="1:11" s="176" customFormat="1" ht="12.75">
      <c r="A19" s="158" t="s">
        <v>284</v>
      </c>
      <c r="B19" s="182"/>
      <c r="C19" s="182"/>
      <c r="D19" s="189">
        <v>0</v>
      </c>
      <c r="E19" s="190">
        <f t="shared" si="2" ref="E19:E37">IF(D$39=0,0,D19/D$39)</f>
        <v>0</v>
      </c>
      <c r="F19" s="403">
        <f>IF(F$12=0,0,#REF!*F$12)</f>
        <v>0</v>
      </c>
      <c r="G19" s="406">
        <v>0</v>
      </c>
      <c r="H19" s="190">
        <f t="shared" si="0"/>
        <v>0</v>
      </c>
      <c r="I19" s="193">
        <v>0</v>
      </c>
      <c r="J19" s="405">
        <f t="shared" si="1"/>
        <v>0</v>
      </c>
      <c r="K19" s="405">
        <f t="shared" si="3" ref="K19:K37">+H19+J19+I19</f>
        <v>0</v>
      </c>
    </row>
    <row r="20" spans="1:11" s="176" customFormat="1" ht="12.75">
      <c r="A20" s="158" t="s">
        <v>285</v>
      </c>
      <c r="B20" s="182"/>
      <c r="C20" s="182"/>
      <c r="D20" s="189">
        <v>0</v>
      </c>
      <c r="E20" s="190">
        <f t="shared" si="2"/>
        <v>0</v>
      </c>
      <c r="F20" s="403">
        <f>IF(F$12=0,0,#REF!*F$12)</f>
        <v>0</v>
      </c>
      <c r="G20" s="406">
        <v>0</v>
      </c>
      <c r="H20" s="190">
        <f t="shared" si="0"/>
        <v>0</v>
      </c>
      <c r="I20" s="193">
        <v>0</v>
      </c>
      <c r="J20" s="405">
        <f t="shared" si="1"/>
        <v>0</v>
      </c>
      <c r="K20" s="405">
        <f t="shared" si="3"/>
        <v>0</v>
      </c>
    </row>
    <row r="21" spans="1:11" s="176" customFormat="1" ht="12.75">
      <c r="A21" s="158" t="s">
        <v>286</v>
      </c>
      <c r="B21" s="182"/>
      <c r="C21" s="182"/>
      <c r="D21" s="189">
        <v>0</v>
      </c>
      <c r="E21" s="190">
        <f t="shared" si="2"/>
        <v>0</v>
      </c>
      <c r="F21" s="403">
        <f>IF(F$12=0,0,#REF!*F$12)</f>
        <v>0</v>
      </c>
      <c r="G21" s="406">
        <v>0</v>
      </c>
      <c r="H21" s="190">
        <f t="shared" si="0"/>
        <v>0</v>
      </c>
      <c r="I21" s="193">
        <v>0</v>
      </c>
      <c r="J21" s="405">
        <f t="shared" si="1"/>
        <v>0</v>
      </c>
      <c r="K21" s="405">
        <f t="shared" si="3"/>
        <v>0</v>
      </c>
    </row>
    <row r="22" spans="1:11" s="176" customFormat="1" ht="12.75">
      <c r="A22" s="158"/>
      <c r="B22" s="182"/>
      <c r="C22" s="182"/>
      <c r="D22" s="189">
        <v>0</v>
      </c>
      <c r="E22" s="190">
        <f t="shared" si="2"/>
        <v>0</v>
      </c>
      <c r="F22" s="403">
        <f>IF(F$12=0,0,#REF!*F$12)</f>
        <v>0</v>
      </c>
      <c r="G22" s="406">
        <v>0</v>
      </c>
      <c r="H22" s="190">
        <f t="shared" si="0"/>
        <v>0</v>
      </c>
      <c r="I22" s="193">
        <v>0</v>
      </c>
      <c r="J22" s="405">
        <f t="shared" si="1"/>
        <v>0</v>
      </c>
      <c r="K22" s="405">
        <f t="shared" si="3"/>
        <v>0</v>
      </c>
    </row>
    <row r="23" spans="1:11" s="176" customFormat="1" ht="12.75">
      <c r="A23" s="158"/>
      <c r="B23" s="182"/>
      <c r="C23" s="182"/>
      <c r="D23" s="189">
        <v>0</v>
      </c>
      <c r="E23" s="190">
        <f t="shared" si="2"/>
        <v>0</v>
      </c>
      <c r="F23" s="403">
        <f>IF(F$12=0,0,#REF!*F$12)</f>
        <v>0</v>
      </c>
      <c r="G23" s="406">
        <v>0</v>
      </c>
      <c r="H23" s="190">
        <f t="shared" si="0"/>
        <v>0</v>
      </c>
      <c r="I23" s="193">
        <v>0</v>
      </c>
      <c r="J23" s="405">
        <f t="shared" si="1"/>
        <v>0</v>
      </c>
      <c r="K23" s="405">
        <f t="shared" si="3"/>
        <v>0</v>
      </c>
    </row>
    <row r="24" spans="1:11" s="176" customFormat="1" ht="12.75">
      <c r="A24" s="158"/>
      <c r="B24" s="182"/>
      <c r="C24" s="182"/>
      <c r="D24" s="189">
        <v>0</v>
      </c>
      <c r="E24" s="190">
        <f t="shared" si="2"/>
        <v>0</v>
      </c>
      <c r="F24" s="403">
        <f>IF(F$12=0,0,#REF!*F$12)</f>
        <v>0</v>
      </c>
      <c r="G24" s="406">
        <v>0</v>
      </c>
      <c r="H24" s="190">
        <f t="shared" si="0"/>
        <v>0</v>
      </c>
      <c r="I24" s="193">
        <v>0</v>
      </c>
      <c r="J24" s="405">
        <f t="shared" si="1"/>
        <v>0</v>
      </c>
      <c r="K24" s="405">
        <f t="shared" si="3"/>
        <v>0</v>
      </c>
    </row>
    <row r="25" spans="1:11" ht="12.75">
      <c r="A25" s="158"/>
      <c r="B25" s="182"/>
      <c r="C25" s="182"/>
      <c r="D25" s="189">
        <v>0</v>
      </c>
      <c r="E25" s="190">
        <f t="shared" si="2"/>
        <v>0</v>
      </c>
      <c r="F25" s="403">
        <f>IF(F$12=0,0,#REF!*F$12)</f>
        <v>0</v>
      </c>
      <c r="G25" s="406">
        <v>0</v>
      </c>
      <c r="H25" s="190">
        <f t="shared" si="0"/>
        <v>0</v>
      </c>
      <c r="I25" s="193">
        <v>0</v>
      </c>
      <c r="J25" s="405">
        <f t="shared" si="1"/>
        <v>0</v>
      </c>
      <c r="K25" s="405">
        <f t="shared" si="3"/>
        <v>0</v>
      </c>
    </row>
    <row r="26" spans="1:11" ht="12.75">
      <c r="A26" s="158"/>
      <c r="B26" s="182"/>
      <c r="C26" s="182"/>
      <c r="D26" s="189">
        <v>0</v>
      </c>
      <c r="E26" s="190">
        <f t="shared" si="2"/>
        <v>0</v>
      </c>
      <c r="F26" s="403">
        <f>IF(F$12=0,0,#REF!*F$12)</f>
        <v>0</v>
      </c>
      <c r="G26" s="406">
        <v>0</v>
      </c>
      <c r="H26" s="190">
        <f t="shared" si="0"/>
        <v>0</v>
      </c>
      <c r="I26" s="193">
        <v>0</v>
      </c>
      <c r="J26" s="405">
        <f t="shared" si="1"/>
        <v>0</v>
      </c>
      <c r="K26" s="405">
        <f t="shared" si="3"/>
        <v>0</v>
      </c>
    </row>
    <row r="27" spans="1:11" ht="12.75">
      <c r="A27" s="158"/>
      <c r="B27" s="182"/>
      <c r="C27" s="182"/>
      <c r="D27" s="189">
        <v>0</v>
      </c>
      <c r="E27" s="190">
        <f t="shared" si="2"/>
        <v>0</v>
      </c>
      <c r="F27" s="403">
        <f>IF(F$12=0,0,#REF!*F$12)</f>
        <v>0</v>
      </c>
      <c r="G27" s="406">
        <v>0</v>
      </c>
      <c r="H27" s="190">
        <f t="shared" si="0"/>
        <v>0</v>
      </c>
      <c r="I27" s="193">
        <v>0</v>
      </c>
      <c r="J27" s="405">
        <f t="shared" si="1"/>
        <v>0</v>
      </c>
      <c r="K27" s="405">
        <f t="shared" si="3"/>
        <v>0</v>
      </c>
    </row>
    <row r="28" spans="1:11" ht="12.75" customHeight="1">
      <c r="A28" s="158"/>
      <c r="B28" s="182"/>
      <c r="C28" s="182"/>
      <c r="D28" s="189">
        <v>0</v>
      </c>
      <c r="E28" s="190">
        <f t="shared" si="2"/>
        <v>0</v>
      </c>
      <c r="F28" s="403">
        <f>IF(F$12=0,0,#REF!*F$12)</f>
        <v>0</v>
      </c>
      <c r="G28" s="406">
        <v>0</v>
      </c>
      <c r="H28" s="190">
        <f t="shared" si="0"/>
        <v>0</v>
      </c>
      <c r="I28" s="193">
        <v>0</v>
      </c>
      <c r="J28" s="405">
        <f t="shared" si="1"/>
        <v>0</v>
      </c>
      <c r="K28" s="405">
        <f t="shared" si="3"/>
        <v>0</v>
      </c>
    </row>
    <row r="29" spans="1:11" ht="12.75">
      <c r="A29" s="158"/>
      <c r="B29" s="182"/>
      <c r="C29" s="182"/>
      <c r="D29" s="189">
        <v>0</v>
      </c>
      <c r="E29" s="190">
        <f t="shared" si="2"/>
        <v>0</v>
      </c>
      <c r="F29" s="403">
        <f>IF(F$12=0,0,#REF!*F$12)</f>
        <v>0</v>
      </c>
      <c r="G29" s="406">
        <v>0</v>
      </c>
      <c r="H29" s="190">
        <f t="shared" si="0"/>
        <v>0</v>
      </c>
      <c r="I29" s="193">
        <v>0</v>
      </c>
      <c r="J29" s="405">
        <f t="shared" si="1"/>
        <v>0</v>
      </c>
      <c r="K29" s="405">
        <f t="shared" si="3"/>
        <v>0</v>
      </c>
    </row>
    <row r="30" spans="1:11" ht="12.75">
      <c r="A30" s="158"/>
      <c r="B30" s="182"/>
      <c r="C30" s="182"/>
      <c r="D30" s="189">
        <v>0</v>
      </c>
      <c r="E30" s="190">
        <f t="shared" si="2"/>
        <v>0</v>
      </c>
      <c r="F30" s="403">
        <f>IF(F$12=0,0,#REF!*F$12)</f>
        <v>0</v>
      </c>
      <c r="G30" s="406">
        <v>0</v>
      </c>
      <c r="H30" s="190">
        <f t="shared" si="0"/>
        <v>0</v>
      </c>
      <c r="I30" s="193">
        <v>0</v>
      </c>
      <c r="J30" s="405">
        <f t="shared" si="1"/>
        <v>0</v>
      </c>
      <c r="K30" s="405">
        <f t="shared" si="3"/>
        <v>0</v>
      </c>
    </row>
    <row r="31" spans="1:11" ht="12.75">
      <c r="A31" s="158"/>
      <c r="B31" s="182"/>
      <c r="C31" s="182"/>
      <c r="D31" s="189">
        <v>0</v>
      </c>
      <c r="E31" s="190">
        <f t="shared" si="2"/>
        <v>0</v>
      </c>
      <c r="F31" s="403">
        <f>IF(F$12=0,0,#REF!*F$12)</f>
        <v>0</v>
      </c>
      <c r="G31" s="406">
        <v>0</v>
      </c>
      <c r="H31" s="190">
        <f t="shared" si="0"/>
        <v>0</v>
      </c>
      <c r="I31" s="193">
        <v>0</v>
      </c>
      <c r="J31" s="405">
        <f t="shared" si="1"/>
        <v>0</v>
      </c>
      <c r="K31" s="405">
        <f t="shared" si="3"/>
        <v>0</v>
      </c>
    </row>
    <row r="32" spans="1:11" ht="12.75">
      <c r="A32" s="158"/>
      <c r="B32" s="182"/>
      <c r="C32" s="182"/>
      <c r="D32" s="189">
        <v>0</v>
      </c>
      <c r="E32" s="190">
        <f t="shared" si="2"/>
        <v>0</v>
      </c>
      <c r="F32" s="403">
        <f>IF(F$12=0,0,#REF!*F$12)</f>
        <v>0</v>
      </c>
      <c r="G32" s="406">
        <v>0</v>
      </c>
      <c r="H32" s="190">
        <f t="shared" si="0"/>
        <v>0</v>
      </c>
      <c r="I32" s="193">
        <v>0</v>
      </c>
      <c r="J32" s="405">
        <f t="shared" si="1"/>
        <v>0</v>
      </c>
      <c r="K32" s="405">
        <f t="shared" si="3"/>
        <v>0</v>
      </c>
    </row>
    <row r="33" spans="1:11" ht="12.75">
      <c r="A33" s="158"/>
      <c r="B33" s="182"/>
      <c r="C33" s="182"/>
      <c r="D33" s="189">
        <v>0</v>
      </c>
      <c r="E33" s="190">
        <f t="shared" si="2"/>
        <v>0</v>
      </c>
      <c r="F33" s="403">
        <f>IF(F$12=0,0,#REF!*F$12)</f>
        <v>0</v>
      </c>
      <c r="G33" s="406">
        <v>0</v>
      </c>
      <c r="H33" s="190">
        <f t="shared" si="0"/>
        <v>0</v>
      </c>
      <c r="I33" s="193">
        <v>0</v>
      </c>
      <c r="J33" s="405">
        <f t="shared" si="1"/>
        <v>0</v>
      </c>
      <c r="K33" s="405">
        <f t="shared" si="3"/>
        <v>0</v>
      </c>
    </row>
    <row r="34" spans="1:11" ht="12.75">
      <c r="A34" s="158"/>
      <c r="B34" s="182"/>
      <c r="C34" s="182"/>
      <c r="D34" s="189">
        <v>0</v>
      </c>
      <c r="E34" s="190">
        <f t="shared" si="2"/>
        <v>0</v>
      </c>
      <c r="F34" s="403">
        <f>IF(F$12=0,0,#REF!*F$12)</f>
        <v>0</v>
      </c>
      <c r="G34" s="406">
        <v>0</v>
      </c>
      <c r="H34" s="190">
        <f t="shared" si="0"/>
        <v>0</v>
      </c>
      <c r="I34" s="193">
        <v>0</v>
      </c>
      <c r="J34" s="405">
        <f t="shared" si="1"/>
        <v>0</v>
      </c>
      <c r="K34" s="405">
        <f t="shared" si="3"/>
        <v>0</v>
      </c>
    </row>
    <row r="35" spans="1:11" ht="13.5" customHeight="1">
      <c r="A35" s="158"/>
      <c r="B35" s="182"/>
      <c r="C35" s="182"/>
      <c r="D35" s="189">
        <v>0</v>
      </c>
      <c r="E35" s="190">
        <f t="shared" si="2"/>
        <v>0</v>
      </c>
      <c r="F35" s="403">
        <f>IF(F$12=0,0,#REF!*F$12)</f>
        <v>0</v>
      </c>
      <c r="G35" s="406">
        <v>0</v>
      </c>
      <c r="H35" s="190">
        <f t="shared" si="0"/>
        <v>0</v>
      </c>
      <c r="I35" s="193">
        <v>0</v>
      </c>
      <c r="J35" s="405">
        <f t="shared" si="1"/>
        <v>0</v>
      </c>
      <c r="K35" s="405">
        <f t="shared" si="3"/>
        <v>0</v>
      </c>
    </row>
    <row r="36" spans="1:11" ht="13.5" customHeight="1">
      <c r="A36" s="158"/>
      <c r="B36" s="182"/>
      <c r="C36" s="182"/>
      <c r="D36" s="189">
        <v>0</v>
      </c>
      <c r="E36" s="190">
        <f t="shared" si="2"/>
        <v>0</v>
      </c>
      <c r="F36" s="403">
        <f>IF(F$12=0,0,#REF!*F$12)</f>
        <v>0</v>
      </c>
      <c r="G36" s="406">
        <v>0</v>
      </c>
      <c r="H36" s="190">
        <f t="shared" si="0"/>
        <v>0</v>
      </c>
      <c r="I36" s="193">
        <v>0</v>
      </c>
      <c r="J36" s="405">
        <f t="shared" si="1"/>
        <v>0</v>
      </c>
      <c r="K36" s="405">
        <f t="shared" si="3"/>
        <v>0</v>
      </c>
    </row>
    <row r="37" spans="1:11" ht="12.75">
      <c r="A37" s="158"/>
      <c r="B37" s="182"/>
      <c r="C37" s="182"/>
      <c r="D37" s="189">
        <v>0</v>
      </c>
      <c r="E37" s="190">
        <f t="shared" si="2"/>
        <v>0</v>
      </c>
      <c r="F37" s="403">
        <f>IF(F$12=0,0,#REF!*F$12)</f>
        <v>0</v>
      </c>
      <c r="G37" s="406">
        <v>0</v>
      </c>
      <c r="H37" s="190">
        <f t="shared" si="0"/>
        <v>0</v>
      </c>
      <c r="I37" s="193">
        <v>0</v>
      </c>
      <c r="J37" s="405">
        <f t="shared" si="1"/>
        <v>0</v>
      </c>
      <c r="K37" s="405">
        <f t="shared" si="3"/>
        <v>0</v>
      </c>
    </row>
    <row r="38" spans="1:11" ht="12.75">
      <c r="A38" s="158"/>
      <c r="B38" s="194"/>
      <c r="C38" s="194"/>
      <c r="D38" s="195"/>
      <c r="E38" s="196"/>
      <c r="F38" s="170"/>
      <c r="G38" s="407"/>
      <c r="H38" s="194"/>
      <c r="I38" s="194"/>
      <c r="J38" s="194"/>
      <c r="K38" s="194"/>
    </row>
    <row r="39" spans="1:11" ht="12.75">
      <c r="A39" s="158">
        <v>4</v>
      </c>
      <c r="B39" s="1" t="s">
        <v>287</v>
      </c>
      <c r="D39" s="25">
        <f t="shared" si="4" ref="D39:F39">SUM(D18:D38)</f>
        <v>0</v>
      </c>
      <c r="E39" s="25">
        <f t="shared" si="4"/>
        <v>0</v>
      </c>
      <c r="F39" s="25">
        <f t="shared" si="4"/>
        <v>0</v>
      </c>
      <c r="G39" s="25">
        <f>SUM(G18:G38)</f>
        <v>0</v>
      </c>
      <c r="H39" s="25">
        <f>SUM(H18:H38)</f>
        <v>0</v>
      </c>
      <c r="I39" s="25"/>
      <c r="J39" s="25">
        <f>SUM(J18:J38)</f>
        <v>0</v>
      </c>
      <c r="K39" s="25">
        <f>SUM(K18:K38)</f>
        <v>0</v>
      </c>
    </row>
    <row r="40" spans="1:11" ht="12.75">
      <c r="A40" s="158"/>
      <c r="D40" s="25"/>
      <c r="E40" s="25"/>
      <c r="F40" s="25"/>
      <c r="G40" s="25"/>
      <c r="H40" s="25"/>
      <c r="I40" s="25"/>
      <c r="J40" s="25"/>
      <c r="K40" s="25"/>
    </row>
    <row r="41" spans="1:11" ht="12.75">
      <c r="A41" s="158"/>
      <c r="D41" s="25"/>
      <c r="E41" s="25"/>
      <c r="F41" s="25"/>
      <c r="G41" s="25" t="s">
        <v>288</v>
      </c>
      <c r="H41" s="25"/>
      <c r="I41" s="25"/>
      <c r="J41" s="26">
        <v>0</v>
      </c>
      <c r="K41" s="25"/>
    </row>
    <row r="42" spans="1:11" ht="12.75">
      <c r="A42" s="158"/>
      <c r="D42" s="25"/>
      <c r="E42" s="25"/>
      <c r="F42" s="25"/>
      <c r="G42" s="25" t="s">
        <v>289</v>
      </c>
      <c r="H42" s="25"/>
      <c r="I42" s="25"/>
      <c r="J42" s="25">
        <f>+J39</f>
        <v>0</v>
      </c>
      <c r="K42" s="25"/>
    </row>
    <row r="43" spans="1:2" ht="12.75">
      <c r="A43" s="158"/>
      <c r="B43" s="1" t="s">
        <v>290</v>
      </c>
    </row>
    <row r="44" spans="1:2" ht="12.75">
      <c r="A44" s="158"/>
      <c r="B44" s="1" t="s">
        <v>666</v>
      </c>
    </row>
    <row r="45" spans="1:2" ht="12.75">
      <c r="A45" s="158"/>
      <c r="B45" s="1" t="s">
        <v>667</v>
      </c>
    </row>
    <row r="46" spans="1:2" ht="12.75">
      <c r="A46" s="158"/>
      <c r="B46" s="1" t="s">
        <v>668</v>
      </c>
    </row>
    <row r="47" spans="1:2" ht="12.75">
      <c r="A47" s="158"/>
      <c r="B47" s="1" t="s">
        <v>294</v>
      </c>
    </row>
    <row r="48" spans="1:2" ht="12.75">
      <c r="A48" s="158"/>
      <c r="B48" s="1" t="s">
        <v>295</v>
      </c>
    </row>
    <row r="49" spans="1:2" ht="12.75">
      <c r="A49" s="158"/>
      <c r="B49" s="1" t="s">
        <v>296</v>
      </c>
    </row>
    <row r="50" spans="1:1" ht="12.75">
      <c r="A50" s="158"/>
    </row>
    <row r="51" spans="1:1" ht="12.75">
      <c r="A51" s="158"/>
    </row>
    <row r="52" spans="1:1" ht="12.75">
      <c r="A52" s="158"/>
    </row>
    <row r="53" spans="1:1" ht="12.75">
      <c r="A53" s="158"/>
    </row>
    <row r="54" spans="1:8" ht="12.75">
      <c r="A54" s="158"/>
      <c r="D54" s="25"/>
      <c r="E54" s="25"/>
      <c r="F54" s="25"/>
      <c r="G54" s="25"/>
      <c r="H54" s="25"/>
    </row>
    <row r="55" spans="1:8" ht="12.75">
      <c r="A55" s="201" t="s">
        <v>297</v>
      </c>
      <c r="D55" s="25"/>
      <c r="E55" s="25"/>
      <c r="F55" s="25"/>
      <c r="G55" s="25"/>
      <c r="H55" s="25"/>
    </row>
    <row r="56" spans="1:6" ht="12.75">
      <c r="A56" s="158"/>
      <c r="B56" s="4" t="s">
        <v>197</v>
      </c>
      <c r="C56" s="202" t="s">
        <v>198</v>
      </c>
      <c r="D56" s="4" t="s">
        <v>199</v>
      </c>
      <c r="E56" s="4" t="s">
        <v>200</v>
      </c>
      <c r="F56" s="4"/>
    </row>
    <row r="57" spans="1:5" ht="12.75">
      <c r="A57" s="158"/>
      <c r="B57" s="180" t="str">
        <f>+A55</f>
        <v>Prior Period Adjustment</v>
      </c>
      <c r="C57" s="165" t="s">
        <v>179</v>
      </c>
      <c r="D57" s="165" t="s">
        <v>264</v>
      </c>
      <c r="E57" s="165" t="s">
        <v>20</v>
      </c>
    </row>
    <row r="58" spans="1:5" ht="12.75">
      <c r="A58" s="158"/>
      <c r="B58" s="179" t="s">
        <v>298</v>
      </c>
      <c r="C58" s="178" t="s">
        <v>299</v>
      </c>
      <c r="D58" s="178" t="s">
        <v>300</v>
      </c>
      <c r="E58" s="178" t="s">
        <v>301</v>
      </c>
    </row>
    <row r="59" spans="1:5" ht="12.75">
      <c r="A59" s="158" t="s">
        <v>302</v>
      </c>
      <c r="B59" s="203">
        <v>0</v>
      </c>
      <c r="C59" s="193">
        <v>0</v>
      </c>
      <c r="D59" s="193">
        <v>0</v>
      </c>
      <c r="E59" s="192">
        <f>+C59+D59</f>
        <v>0</v>
      </c>
    </row>
    <row r="60" spans="1:5" ht="12.75">
      <c r="A60" s="158"/>
      <c r="B60" s="204" t="s">
        <v>669</v>
      </c>
      <c r="C60" s="194"/>
      <c r="D60" s="194"/>
      <c r="E60" s="205"/>
    </row>
    <row r="61" spans="1:8" ht="12.75">
      <c r="A61" s="158"/>
      <c r="H61" s="5"/>
    </row>
    <row r="62" spans="1:9" ht="66" customHeight="1">
      <c r="A62" s="158"/>
      <c r="D62" s="206"/>
      <c r="E62" s="206"/>
      <c r="F62" s="206"/>
      <c r="G62" s="206"/>
      <c r="H62" s="206"/>
      <c r="I62" s="206"/>
    </row>
    <row r="63" spans="1:10" ht="56.25" customHeight="1">
      <c r="A63" s="207" t="s">
        <v>290</v>
      </c>
      <c r="B63" s="208" t="s">
        <v>236</v>
      </c>
      <c r="C63" s="1040" t="s">
        <v>670</v>
      </c>
      <c r="D63" s="1040"/>
      <c r="E63" s="1040"/>
      <c r="F63" s="1040"/>
      <c r="G63" s="1040"/>
      <c r="H63" s="1040"/>
      <c r="I63" s="1040"/>
      <c r="J63" s="1040"/>
    </row>
    <row r="64" spans="1:10" ht="56.25" customHeight="1">
      <c r="A64" s="207"/>
      <c r="B64" s="155" t="s">
        <v>238</v>
      </c>
      <c r="C64" s="1040" t="s">
        <v>305</v>
      </c>
      <c r="D64" s="1040"/>
      <c r="E64" s="1040"/>
      <c r="F64" s="1040"/>
      <c r="G64" s="1040"/>
      <c r="H64" s="1040"/>
      <c r="I64" s="1040"/>
      <c r="J64" s="408"/>
    </row>
    <row r="65" spans="1:9" ht="27" customHeight="1">
      <c r="A65" s="158"/>
      <c r="B65" s="155" t="s">
        <v>251</v>
      </c>
      <c r="C65" s="1040" t="s">
        <v>306</v>
      </c>
      <c r="D65" s="1040"/>
      <c r="E65" s="1040"/>
      <c r="F65" s="1040"/>
      <c r="G65" s="1040"/>
      <c r="H65" s="1040"/>
      <c r="I65" s="1040"/>
    </row>
    <row r="69" ht="24" customHeight="1"/>
  </sheetData>
  <mergeCells count="5">
    <mergeCell ref="D10:E10"/>
    <mergeCell ref="D11:E11"/>
    <mergeCell ref="C63:J63"/>
    <mergeCell ref="C64:I64"/>
    <mergeCell ref="C65:I65"/>
  </mergeCells>
  <pageMargins left="0.25" right="0.25" top="0.75" bottom="0.75" header="0.3" footer="0.3"/>
  <pageSetup orientation="landscape" scale="52"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6FA2-2ECF-4EC6-89D8-AFE809B409CF}">
  <sheetPr>
    <pageSetUpPr fitToPage="1"/>
  </sheetPr>
  <dimension ref="A1:P76"/>
  <sheetViews>
    <sheetView view="pageBreakPreview" zoomScale="85" zoomScaleNormal="85" zoomScaleSheetLayoutView="85" workbookViewId="0" topLeftCell="A1"/>
  </sheetViews>
  <sheetFormatPr defaultColWidth="11.4255555555556" defaultRowHeight="13.2"/>
  <cols>
    <col min="1" max="1" width="6.33333333333333" style="409" customWidth="1"/>
    <col min="2" max="2" width="37.3333333333333" style="1" bestFit="1" customWidth="1"/>
    <col min="3" max="3" width="25.6666666666667" style="1" customWidth="1"/>
    <col min="4" max="4" width="24.6666666666667" style="1" customWidth="1"/>
    <col min="5" max="5" width="20.5555555555556" style="1" customWidth="1"/>
    <col min="6" max="6" width="25" style="1" customWidth="1"/>
    <col min="7" max="7" width="27.4444444444444" style="1" customWidth="1"/>
    <col min="8" max="8" width="23.1111111111111" style="1" customWidth="1"/>
    <col min="9" max="9" width="26.6666666666667" style="1" customWidth="1"/>
    <col min="10" max="10" width="32.4444444444444" style="1" customWidth="1"/>
    <col min="11" max="14" width="15.1111111111111" style="1" customWidth="1"/>
    <col min="15" max="16384" width="11.4444444444444" style="1"/>
  </cols>
  <sheetData>
    <row r="1" spans="3:10" ht="12.75">
      <c r="C1" s="137"/>
      <c r="D1" s="137"/>
      <c r="E1" s="137"/>
      <c r="G1" s="6" t="s">
        <v>671</v>
      </c>
      <c r="H1" s="137"/>
      <c r="I1" s="137"/>
      <c r="J1" s="138" t="s">
        <v>588</v>
      </c>
    </row>
    <row r="2" spans="1:12" ht="12.75">
      <c r="A2" s="120"/>
      <c r="C2" s="137"/>
      <c r="D2" s="137"/>
      <c r="E2" s="137"/>
      <c r="F2" s="137"/>
      <c r="G2" s="129" t="s">
        <v>672</v>
      </c>
      <c r="H2" s="137"/>
      <c r="I2" s="137"/>
      <c r="J2" s="137"/>
      <c r="L2" s="209"/>
    </row>
    <row r="3" spans="1:10" ht="12.75">
      <c r="A3" s="120"/>
      <c r="C3" s="137"/>
      <c r="D3" s="137"/>
      <c r="E3" s="137"/>
      <c r="F3" s="137"/>
      <c r="G3" s="37" t="str">
        <f>+'Attachment H'!D5</f>
        <v>GridLiance High Plains LLC</v>
      </c>
      <c r="H3" s="137"/>
      <c r="I3" s="137"/>
      <c r="J3" s="137"/>
    </row>
    <row r="4" spans="1:10" ht="12.75">
      <c r="A4" s="120"/>
      <c r="C4" s="137"/>
      <c r="D4" s="137"/>
      <c r="E4" s="137"/>
      <c r="F4" s="137"/>
      <c r="G4" s="137"/>
      <c r="H4" s="137"/>
      <c r="I4" s="137"/>
      <c r="J4" s="137"/>
    </row>
    <row r="5" spans="1:10" ht="12.75">
      <c r="A5" s="120"/>
      <c r="B5" s="121"/>
      <c r="C5" s="121"/>
      <c r="D5" s="121"/>
      <c r="E5" s="121"/>
      <c r="F5" s="121"/>
      <c r="G5" s="121"/>
      <c r="H5" s="121"/>
      <c r="I5" s="121"/>
      <c r="J5" s="121"/>
    </row>
    <row r="6" spans="1:10" ht="12.75">
      <c r="A6" s="120"/>
      <c r="B6" s="121"/>
      <c r="C6" s="1047" t="s">
        <v>189</v>
      </c>
      <c r="D6" s="1047"/>
      <c r="E6" s="122" t="s">
        <v>673</v>
      </c>
      <c r="F6" s="122" t="s">
        <v>191</v>
      </c>
      <c r="G6" s="1047" t="s">
        <v>192</v>
      </c>
      <c r="H6" s="1047"/>
      <c r="I6" s="1048" t="s">
        <v>674</v>
      </c>
      <c r="J6" s="1048"/>
    </row>
    <row r="7" spans="1:10" s="410" customFormat="1" ht="25.5">
      <c r="A7" s="117" t="s">
        <v>193</v>
      </c>
      <c r="B7" s="123" t="s">
        <v>194</v>
      </c>
      <c r="C7" s="123" t="s">
        <v>314</v>
      </c>
      <c r="D7" s="123" t="s">
        <v>675</v>
      </c>
      <c r="E7" s="123" t="s">
        <v>676</v>
      </c>
      <c r="F7" s="123" t="s">
        <v>195</v>
      </c>
      <c r="G7" s="123" t="s">
        <v>196</v>
      </c>
      <c r="H7" s="123" t="s">
        <v>677</v>
      </c>
      <c r="I7" s="123" t="s">
        <v>314</v>
      </c>
      <c r="J7" s="123" t="s">
        <v>675</v>
      </c>
    </row>
    <row r="8" spans="1:10" s="73" customFormat="1" ht="12.75">
      <c r="A8" s="120"/>
      <c r="B8" s="122" t="s">
        <v>197</v>
      </c>
      <c r="C8" s="122" t="s">
        <v>198</v>
      </c>
      <c r="D8" s="122" t="s">
        <v>199</v>
      </c>
      <c r="E8" s="123" t="s">
        <v>200</v>
      </c>
      <c r="F8" s="123" t="s">
        <v>201</v>
      </c>
      <c r="G8" s="123" t="s">
        <v>221</v>
      </c>
      <c r="H8" s="123" t="s">
        <v>222</v>
      </c>
      <c r="I8" s="127" t="s">
        <v>223</v>
      </c>
      <c r="J8" s="127" t="s">
        <v>678</v>
      </c>
    </row>
    <row r="9" spans="1:10" s="73" customFormat="1" ht="12.75">
      <c r="A9" s="120"/>
      <c r="B9" s="128" t="s">
        <v>679</v>
      </c>
      <c r="C9" s="129">
        <v>2</v>
      </c>
      <c r="D9" s="129">
        <v>4</v>
      </c>
      <c r="E9" s="130">
        <v>27</v>
      </c>
      <c r="F9" s="130">
        <v>31</v>
      </c>
      <c r="G9" s="130">
        <v>34</v>
      </c>
      <c r="H9" s="130">
        <v>35</v>
      </c>
      <c r="I9" s="131">
        <v>9</v>
      </c>
      <c r="J9" s="131">
        <v>11</v>
      </c>
    </row>
    <row r="10" spans="1:10" s="73" customFormat="1" ht="25.5">
      <c r="A10" s="120"/>
      <c r="B10" s="122"/>
      <c r="C10" s="68" t="s">
        <v>680</v>
      </c>
      <c r="D10" s="68" t="s">
        <v>681</v>
      </c>
      <c r="E10" s="132" t="s">
        <v>606</v>
      </c>
      <c r="F10" s="68" t="s">
        <v>204</v>
      </c>
      <c r="G10" s="68" t="s">
        <v>682</v>
      </c>
      <c r="H10" s="68" t="s">
        <v>683</v>
      </c>
      <c r="I10" s="68" t="s">
        <v>684</v>
      </c>
      <c r="J10" s="68" t="s">
        <v>685</v>
      </c>
    </row>
    <row r="11" spans="1:10" ht="12.75">
      <c r="A11" s="120">
        <v>1</v>
      </c>
      <c r="B11" s="133" t="s">
        <v>206</v>
      </c>
      <c r="C11" s="135"/>
      <c r="D11" s="135">
        <v>0</v>
      </c>
      <c r="E11" s="135">
        <v>0</v>
      </c>
      <c r="F11" s="135">
        <v>0</v>
      </c>
      <c r="G11" s="135">
        <v>31986.685807405956</v>
      </c>
      <c r="H11" s="59">
        <v>30806.48730181445</v>
      </c>
      <c r="I11" s="135"/>
      <c r="J11" s="135">
        <v>0</v>
      </c>
    </row>
    <row r="12" spans="1:10" ht="12.75">
      <c r="A12" s="120">
        <v>2</v>
      </c>
      <c r="B12" s="133" t="s">
        <v>207</v>
      </c>
      <c r="C12" s="135"/>
      <c r="D12" s="135">
        <v>0</v>
      </c>
      <c r="E12" s="135">
        <v>0</v>
      </c>
      <c r="F12" s="135">
        <v>0</v>
      </c>
      <c r="G12" s="135">
        <v>31986.685807405956</v>
      </c>
      <c r="H12" s="135">
        <v>27428.324341770694</v>
      </c>
      <c r="I12" s="59"/>
      <c r="J12" s="135">
        <v>0</v>
      </c>
    </row>
    <row r="13" spans="1:10" ht="12.75">
      <c r="A13" s="120">
        <v>3</v>
      </c>
      <c r="B13" s="137" t="s">
        <v>208</v>
      </c>
      <c r="C13" s="135"/>
      <c r="D13" s="135">
        <v>0</v>
      </c>
      <c r="E13" s="135">
        <v>0</v>
      </c>
      <c r="F13" s="135">
        <v>0</v>
      </c>
      <c r="G13" s="135">
        <v>31986.685807405956</v>
      </c>
      <c r="H13" s="135">
        <v>24050.161381726943</v>
      </c>
      <c r="I13" s="59"/>
      <c r="J13" s="135">
        <v>0</v>
      </c>
    </row>
    <row r="14" spans="1:10" ht="12.75">
      <c r="A14" s="120">
        <v>4</v>
      </c>
      <c r="B14" s="137" t="s">
        <v>209</v>
      </c>
      <c r="C14" s="135"/>
      <c r="D14" s="135">
        <v>0</v>
      </c>
      <c r="E14" s="135">
        <v>0</v>
      </c>
      <c r="F14" s="135">
        <v>0</v>
      </c>
      <c r="G14" s="135">
        <v>31986.685807405956</v>
      </c>
      <c r="H14" s="135">
        <v>20671.998421683184</v>
      </c>
      <c r="I14" s="59"/>
      <c r="J14" s="135">
        <v>0</v>
      </c>
    </row>
    <row r="15" spans="1:10" ht="12.75">
      <c r="A15" s="120">
        <v>5</v>
      </c>
      <c r="B15" s="137" t="s">
        <v>210</v>
      </c>
      <c r="C15" s="135"/>
      <c r="D15" s="135">
        <v>0</v>
      </c>
      <c r="E15" s="135">
        <v>0</v>
      </c>
      <c r="F15" s="135">
        <v>0</v>
      </c>
      <c r="G15" s="135">
        <v>31986.685807405956</v>
      </c>
      <c r="H15" s="135">
        <v>17293.835461639432</v>
      </c>
      <c r="I15" s="59"/>
      <c r="J15" s="135">
        <v>0</v>
      </c>
    </row>
    <row r="16" spans="1:10" ht="12.75">
      <c r="A16" s="120">
        <v>6</v>
      </c>
      <c r="B16" s="137" t="s">
        <v>211</v>
      </c>
      <c r="C16" s="135"/>
      <c r="D16" s="135">
        <v>0</v>
      </c>
      <c r="E16" s="135">
        <v>0</v>
      </c>
      <c r="F16" s="135">
        <v>0</v>
      </c>
      <c r="G16" s="135">
        <v>31986.685807405956</v>
      </c>
      <c r="H16" s="135">
        <v>13915.672501595678</v>
      </c>
      <c r="I16" s="59"/>
      <c r="J16" s="135">
        <v>0</v>
      </c>
    </row>
    <row r="17" spans="1:10" ht="12.75">
      <c r="A17" s="120">
        <v>7</v>
      </c>
      <c r="B17" s="137" t="s">
        <v>212</v>
      </c>
      <c r="C17" s="135"/>
      <c r="D17" s="135">
        <v>0</v>
      </c>
      <c r="E17" s="135">
        <v>0</v>
      </c>
      <c r="F17" s="135">
        <v>0</v>
      </c>
      <c r="G17" s="135">
        <v>31986.685807405956</v>
      </c>
      <c r="H17" s="135">
        <v>10537.509541551921</v>
      </c>
      <c r="I17" s="59"/>
      <c r="J17" s="135">
        <v>0</v>
      </c>
    </row>
    <row r="18" spans="1:10" ht="12.75">
      <c r="A18" s="120">
        <v>8</v>
      </c>
      <c r="B18" s="137" t="s">
        <v>213</v>
      </c>
      <c r="C18" s="135"/>
      <c r="D18" s="135">
        <v>0</v>
      </c>
      <c r="E18" s="135">
        <v>0</v>
      </c>
      <c r="F18" s="135">
        <v>0</v>
      </c>
      <c r="G18" s="135">
        <v>31986.685807405956</v>
      </c>
      <c r="H18" s="135">
        <v>7159.3465815081645</v>
      </c>
      <c r="I18" s="59"/>
      <c r="J18" s="135">
        <v>0</v>
      </c>
    </row>
    <row r="19" spans="1:10" ht="12.75">
      <c r="A19" s="120">
        <v>9</v>
      </c>
      <c r="B19" s="137" t="s">
        <v>214</v>
      </c>
      <c r="C19" s="135"/>
      <c r="D19" s="135">
        <v>0</v>
      </c>
      <c r="E19" s="135">
        <v>0</v>
      </c>
      <c r="F19" s="135">
        <v>0</v>
      </c>
      <c r="G19" s="135">
        <v>31986.685807405956</v>
      </c>
      <c r="H19" s="135">
        <v>3781.18362146441</v>
      </c>
      <c r="I19" s="59"/>
      <c r="J19" s="135">
        <v>0</v>
      </c>
    </row>
    <row r="20" spans="1:10" ht="12.75">
      <c r="A20" s="120">
        <v>10</v>
      </c>
      <c r="B20" s="137" t="s">
        <v>215</v>
      </c>
      <c r="C20" s="135"/>
      <c r="D20" s="135">
        <v>0</v>
      </c>
      <c r="E20" s="135">
        <v>0</v>
      </c>
      <c r="F20" s="135">
        <v>0</v>
      </c>
      <c r="G20" s="135">
        <v>31986.685807405956</v>
      </c>
      <c r="H20" s="135">
        <v>32276.131240563947</v>
      </c>
      <c r="I20" s="59"/>
      <c r="J20" s="135">
        <v>0</v>
      </c>
    </row>
    <row r="21" spans="1:10" ht="12.75">
      <c r="A21" s="120">
        <v>11</v>
      </c>
      <c r="B21" s="137" t="s">
        <v>216</v>
      </c>
      <c r="C21" s="135"/>
      <c r="D21" s="135">
        <v>0</v>
      </c>
      <c r="E21" s="135">
        <v>0</v>
      </c>
      <c r="F21" s="135">
        <v>0</v>
      </c>
      <c r="G21" s="135">
        <v>31986.685807405956</v>
      </c>
      <c r="H21" s="135">
        <v>42169.659169471568</v>
      </c>
      <c r="I21" s="59"/>
      <c r="J21" s="135">
        <v>0</v>
      </c>
    </row>
    <row r="22" spans="1:10" ht="12.75">
      <c r="A22" s="120">
        <v>12</v>
      </c>
      <c r="B22" s="137" t="s">
        <v>217</v>
      </c>
      <c r="C22" s="135"/>
      <c r="D22" s="135">
        <v>0</v>
      </c>
      <c r="E22" s="135">
        <v>0</v>
      </c>
      <c r="F22" s="135">
        <v>0</v>
      </c>
      <c r="G22" s="135">
        <v>31986.685807405956</v>
      </c>
      <c r="H22" s="135">
        <v>38284.771765421239</v>
      </c>
      <c r="I22" s="59"/>
      <c r="J22" s="135">
        <v>0</v>
      </c>
    </row>
    <row r="23" spans="1:10" ht="12.75">
      <c r="A23" s="120">
        <v>13</v>
      </c>
      <c r="B23" s="137" t="s">
        <v>218</v>
      </c>
      <c r="C23" s="135"/>
      <c r="D23" s="135">
        <v>0</v>
      </c>
      <c r="E23" s="135">
        <v>0</v>
      </c>
      <c r="F23" s="135">
        <v>0</v>
      </c>
      <c r="G23" s="135">
        <v>31986.685807405956</v>
      </c>
      <c r="H23" s="135">
        <v>34399.884361370925</v>
      </c>
      <c r="I23" s="59"/>
      <c r="J23" s="135">
        <v>0</v>
      </c>
    </row>
    <row r="24" spans="1:10" ht="13.5" thickBot="1">
      <c r="A24" s="120">
        <v>14</v>
      </c>
      <c r="B24" s="138" t="s">
        <v>219</v>
      </c>
      <c r="C24" s="139">
        <f t="shared" si="0" ref="C24:H24">SUM(C11:C23)/13</f>
        <v>0</v>
      </c>
      <c r="D24" s="96">
        <f>SUM(D11:D23)/13</f>
        <v>0</v>
      </c>
      <c r="E24" s="96">
        <f t="shared" si="0"/>
        <v>0</v>
      </c>
      <c r="F24" s="96">
        <f t="shared" si="0"/>
        <v>0</v>
      </c>
      <c r="G24" s="96">
        <f t="shared" si="0"/>
        <v>31986.685807405967</v>
      </c>
      <c r="H24" s="96">
        <f t="shared" si="0"/>
        <v>23290.381976275585</v>
      </c>
      <c r="I24" s="96">
        <f>SUM(I11:I23)/13</f>
        <v>0</v>
      </c>
      <c r="J24" s="96">
        <f>SUM(J11:J23)/13</f>
        <v>0</v>
      </c>
    </row>
    <row r="25" spans="1:9" ht="13.5" thickTop="1">
      <c r="A25" s="120"/>
      <c r="B25" s="137"/>
      <c r="C25" s="411"/>
      <c r="D25" s="412"/>
      <c r="E25" s="412"/>
      <c r="F25" s="412"/>
      <c r="G25" s="411"/>
      <c r="H25" s="411"/>
      <c r="I25" s="411"/>
    </row>
    <row r="26" spans="1:9" ht="12.75">
      <c r="A26" s="120"/>
      <c r="B26" s="413"/>
      <c r="C26" s="1048" t="s">
        <v>686</v>
      </c>
      <c r="D26" s="1048"/>
      <c r="E26" s="1048"/>
      <c r="F26" s="1048"/>
      <c r="G26" s="1048"/>
      <c r="H26" s="1048"/>
      <c r="I26" s="1048"/>
    </row>
    <row r="27" spans="1:9" ht="72" customHeight="1">
      <c r="A27" s="120" t="s">
        <v>193</v>
      </c>
      <c r="B27" s="122" t="s">
        <v>194</v>
      </c>
      <c r="C27" s="127" t="s">
        <v>687</v>
      </c>
      <c r="D27" s="127" t="s">
        <v>688</v>
      </c>
      <c r="E27" s="127" t="s">
        <v>689</v>
      </c>
      <c r="F27" s="127" t="s">
        <v>690</v>
      </c>
      <c r="G27" s="127" t="s">
        <v>691</v>
      </c>
      <c r="H27" s="127" t="s">
        <v>692</v>
      </c>
      <c r="I27" s="127" t="s">
        <v>693</v>
      </c>
    </row>
    <row r="28" spans="1:9" s="73" customFormat="1" ht="12.75">
      <c r="A28" s="120"/>
      <c r="B28" s="122" t="s">
        <v>197</v>
      </c>
      <c r="C28" s="127" t="s">
        <v>198</v>
      </c>
      <c r="D28" s="127" t="s">
        <v>199</v>
      </c>
      <c r="E28" s="127" t="s">
        <v>200</v>
      </c>
      <c r="F28" s="127" t="s">
        <v>201</v>
      </c>
      <c r="G28" s="127" t="s">
        <v>221</v>
      </c>
      <c r="H28" s="127" t="s">
        <v>222</v>
      </c>
      <c r="I28" s="127" t="s">
        <v>223</v>
      </c>
    </row>
    <row r="29" spans="1:9" s="73" customFormat="1" ht="12.75">
      <c r="A29" s="120"/>
      <c r="B29" s="128" t="s">
        <v>679</v>
      </c>
      <c r="C29" s="131">
        <v>28</v>
      </c>
      <c r="D29" s="131">
        <v>29</v>
      </c>
      <c r="E29" s="131">
        <v>22</v>
      </c>
      <c r="F29" s="131">
        <v>23</v>
      </c>
      <c r="G29" s="131">
        <v>24</v>
      </c>
      <c r="H29" s="131">
        <v>25</v>
      </c>
      <c r="I29" s="131">
        <v>26</v>
      </c>
    </row>
    <row r="30" spans="1:9" s="73" customFormat="1" ht="25.5">
      <c r="A30" s="120"/>
      <c r="B30" s="122"/>
      <c r="C30" s="123" t="s">
        <v>694</v>
      </c>
      <c r="D30" s="127" t="s">
        <v>695</v>
      </c>
      <c r="E30" s="127" t="s">
        <v>696</v>
      </c>
      <c r="F30" s="127" t="s">
        <v>697</v>
      </c>
      <c r="G30" s="127" t="s">
        <v>697</v>
      </c>
      <c r="H30" s="127" t="s">
        <v>697</v>
      </c>
      <c r="I30" s="127" t="s">
        <v>698</v>
      </c>
    </row>
    <row r="31" spans="1:9" ht="12.75">
      <c r="A31" s="120">
        <v>15</v>
      </c>
      <c r="B31" s="133" t="s">
        <v>206</v>
      </c>
      <c r="C31" s="135">
        <v>0</v>
      </c>
      <c r="D31" s="135">
        <v>0</v>
      </c>
      <c r="E31" s="135">
        <v>0</v>
      </c>
      <c r="F31" s="414"/>
      <c r="G31" s="414"/>
      <c r="H31" s="414"/>
      <c r="I31" s="135">
        <v>0</v>
      </c>
    </row>
    <row r="32" spans="1:9" ht="12.75">
      <c r="A32" s="120">
        <v>16</v>
      </c>
      <c r="B32" s="133" t="s">
        <v>207</v>
      </c>
      <c r="C32" s="135">
        <v>0</v>
      </c>
      <c r="D32" s="135">
        <v>0</v>
      </c>
      <c r="E32" s="414"/>
      <c r="F32" s="414"/>
      <c r="G32" s="414"/>
      <c r="H32" s="414"/>
      <c r="I32" s="135">
        <v>0</v>
      </c>
    </row>
    <row r="33" spans="1:9" ht="12.75">
      <c r="A33" s="120">
        <v>17</v>
      </c>
      <c r="B33" s="137" t="s">
        <v>208</v>
      </c>
      <c r="C33" s="135">
        <v>0</v>
      </c>
      <c r="D33" s="135">
        <v>0</v>
      </c>
      <c r="E33" s="414"/>
      <c r="F33" s="414"/>
      <c r="G33" s="414"/>
      <c r="H33" s="414"/>
      <c r="I33" s="135">
        <v>0</v>
      </c>
    </row>
    <row r="34" spans="1:9" ht="12.75">
      <c r="A34" s="120">
        <v>18</v>
      </c>
      <c r="B34" s="137" t="s">
        <v>209</v>
      </c>
      <c r="C34" s="135">
        <v>0</v>
      </c>
      <c r="D34" s="135">
        <v>0</v>
      </c>
      <c r="E34" s="414"/>
      <c r="F34" s="414"/>
      <c r="G34" s="414"/>
      <c r="H34" s="414"/>
      <c r="I34" s="135">
        <v>0</v>
      </c>
    </row>
    <row r="35" spans="1:9" ht="12.75">
      <c r="A35" s="120">
        <v>19</v>
      </c>
      <c r="B35" s="137" t="s">
        <v>210</v>
      </c>
      <c r="C35" s="135">
        <v>0</v>
      </c>
      <c r="D35" s="135">
        <v>0</v>
      </c>
      <c r="E35" s="414"/>
      <c r="F35" s="414"/>
      <c r="G35" s="414"/>
      <c r="H35" s="414"/>
      <c r="I35" s="135">
        <v>0</v>
      </c>
    </row>
    <row r="36" spans="1:9" ht="12.75">
      <c r="A36" s="120">
        <v>20</v>
      </c>
      <c r="B36" s="137" t="s">
        <v>211</v>
      </c>
      <c r="C36" s="135">
        <v>0</v>
      </c>
      <c r="D36" s="135">
        <v>0</v>
      </c>
      <c r="E36" s="414"/>
      <c r="F36" s="414"/>
      <c r="G36" s="414"/>
      <c r="H36" s="414"/>
      <c r="I36" s="135">
        <v>0</v>
      </c>
    </row>
    <row r="37" spans="1:9" ht="12.75">
      <c r="A37" s="120">
        <v>21</v>
      </c>
      <c r="B37" s="137" t="s">
        <v>212</v>
      </c>
      <c r="C37" s="135">
        <v>0</v>
      </c>
      <c r="D37" s="135">
        <v>0</v>
      </c>
      <c r="E37" s="414"/>
      <c r="F37" s="414"/>
      <c r="G37" s="414"/>
      <c r="H37" s="414"/>
      <c r="I37" s="135">
        <v>0</v>
      </c>
    </row>
    <row r="38" spans="1:9" ht="12.75">
      <c r="A38" s="120">
        <v>22</v>
      </c>
      <c r="B38" s="137" t="s">
        <v>213</v>
      </c>
      <c r="C38" s="135">
        <v>0</v>
      </c>
      <c r="D38" s="135">
        <v>0</v>
      </c>
      <c r="E38" s="414"/>
      <c r="F38" s="414"/>
      <c r="G38" s="414"/>
      <c r="H38" s="414"/>
      <c r="I38" s="135">
        <v>0</v>
      </c>
    </row>
    <row r="39" spans="1:9" ht="12.75">
      <c r="A39" s="120">
        <v>23</v>
      </c>
      <c r="B39" s="137" t="s">
        <v>214</v>
      </c>
      <c r="C39" s="135">
        <v>0</v>
      </c>
      <c r="D39" s="135">
        <v>0</v>
      </c>
      <c r="E39" s="414"/>
      <c r="F39" s="414"/>
      <c r="G39" s="414"/>
      <c r="H39" s="414"/>
      <c r="I39" s="135">
        <v>0</v>
      </c>
    </row>
    <row r="40" spans="1:9" ht="12.75">
      <c r="A40" s="120">
        <v>24</v>
      </c>
      <c r="B40" s="137" t="s">
        <v>215</v>
      </c>
      <c r="C40" s="135">
        <v>0</v>
      </c>
      <c r="D40" s="135">
        <v>0</v>
      </c>
      <c r="E40" s="414"/>
      <c r="F40" s="414"/>
      <c r="G40" s="414"/>
      <c r="H40" s="414"/>
      <c r="I40" s="135">
        <v>0</v>
      </c>
    </row>
    <row r="41" spans="1:9" ht="12.75">
      <c r="A41" s="120">
        <v>25</v>
      </c>
      <c r="B41" s="137" t="s">
        <v>216</v>
      </c>
      <c r="C41" s="135">
        <v>0</v>
      </c>
      <c r="D41" s="135">
        <v>0</v>
      </c>
      <c r="E41" s="414"/>
      <c r="F41" s="414"/>
      <c r="G41" s="414"/>
      <c r="H41" s="414"/>
      <c r="I41" s="135">
        <v>0</v>
      </c>
    </row>
    <row r="42" spans="1:9" ht="12.75">
      <c r="A42" s="120">
        <v>26</v>
      </c>
      <c r="B42" s="137" t="s">
        <v>217</v>
      </c>
      <c r="C42" s="135">
        <v>0</v>
      </c>
      <c r="D42" s="135">
        <v>0</v>
      </c>
      <c r="E42" s="414"/>
      <c r="F42" s="414"/>
      <c r="G42" s="414"/>
      <c r="H42" s="414"/>
      <c r="I42" s="135">
        <v>0</v>
      </c>
    </row>
    <row r="43" spans="1:9" ht="12.75">
      <c r="A43" s="120">
        <v>27</v>
      </c>
      <c r="B43" s="137" t="s">
        <v>218</v>
      </c>
      <c r="C43" s="135">
        <f>+C42</f>
        <v>0</v>
      </c>
      <c r="D43" s="135">
        <v>0</v>
      </c>
      <c r="E43" s="135">
        <v>0</v>
      </c>
      <c r="F43" s="135">
        <v>0</v>
      </c>
      <c r="G43" s="135">
        <v>0</v>
      </c>
      <c r="H43" s="135">
        <v>0</v>
      </c>
      <c r="I43" s="135">
        <v>0</v>
      </c>
    </row>
    <row r="44" spans="1:9" ht="13.5" thickBot="1">
      <c r="A44" s="120">
        <v>28</v>
      </c>
      <c r="B44" s="138" t="s">
        <v>699</v>
      </c>
      <c r="C44" s="96">
        <f t="shared" si="1" ref="C44:I44">SUM(C31:C43)/13</f>
        <v>0</v>
      </c>
      <c r="D44" s="140">
        <f t="shared" si="1"/>
        <v>0</v>
      </c>
      <c r="E44" s="140">
        <v>0</v>
      </c>
      <c r="F44" s="1025">
        <f>+'4a - ADIT Projection'!I15</f>
        <v>-511867.60651903506</v>
      </c>
      <c r="G44" s="1025">
        <f>+'4a - ADIT Projection'!I25</f>
        <v>-1952.7178082191781</v>
      </c>
      <c r="H44" s="140">
        <f>+'4a - ADIT Projection'!I35</f>
        <v>97734</v>
      </c>
      <c r="I44" s="140">
        <f t="shared" si="1"/>
        <v>0</v>
      </c>
    </row>
    <row r="45" spans="1:9" ht="13.5" thickTop="1">
      <c r="A45" s="120"/>
      <c r="B45" s="137"/>
      <c r="E45" s="1" t="s">
        <v>700</v>
      </c>
      <c r="F45" s="1" t="s">
        <v>701</v>
      </c>
      <c r="G45" s="1" t="s">
        <v>702</v>
      </c>
      <c r="H45" s="1" t="s">
        <v>703</v>
      </c>
      <c r="I45" s="412"/>
    </row>
    <row r="46" spans="1:1" ht="12.75">
      <c r="A46" s="120"/>
    </row>
    <row r="47" spans="6:6" ht="12.75">
      <c r="F47" s="6" t="s">
        <v>671</v>
      </c>
    </row>
    <row r="48" spans="1:15" ht="12.75">
      <c r="A48" s="120"/>
      <c r="B48" s="4"/>
      <c r="C48" s="141"/>
      <c r="D48" s="141"/>
      <c r="E48" s="141"/>
      <c r="F48" s="129" t="s">
        <v>672</v>
      </c>
      <c r="G48" s="141"/>
      <c r="L48" s="73"/>
      <c r="M48" s="73"/>
      <c r="N48" s="73"/>
      <c r="O48" s="73"/>
    </row>
    <row r="49" spans="1:15" ht="12.75">
      <c r="A49" s="120"/>
      <c r="C49" s="141"/>
      <c r="D49" s="141"/>
      <c r="E49" s="141"/>
      <c r="F49" s="37" t="str">
        <f>+G3</f>
        <v>GridLiance High Plains LLC</v>
      </c>
      <c r="G49" s="141"/>
      <c r="K49" s="73"/>
      <c r="L49" s="73"/>
      <c r="M49" s="73"/>
      <c r="N49" s="73"/>
      <c r="O49" s="73"/>
    </row>
    <row r="50" spans="1:15" ht="12.75">
      <c r="A50" s="120"/>
      <c r="B50" s="4" t="s">
        <v>704</v>
      </c>
      <c r="C50" s="141"/>
      <c r="D50" s="141"/>
      <c r="E50" s="141"/>
      <c r="F50" s="37"/>
      <c r="G50" s="141"/>
      <c r="K50" s="73"/>
      <c r="L50" s="73"/>
      <c r="M50" s="73"/>
      <c r="N50" s="73"/>
      <c r="O50" s="73"/>
    </row>
    <row r="51" spans="1:16" ht="12.75">
      <c r="A51" s="120"/>
      <c r="B51" s="4" t="s">
        <v>197</v>
      </c>
      <c r="C51" s="4" t="s">
        <v>198</v>
      </c>
      <c r="D51" s="4" t="s">
        <v>199</v>
      </c>
      <c r="E51" s="4" t="s">
        <v>200</v>
      </c>
      <c r="F51" s="4" t="s">
        <v>201</v>
      </c>
      <c r="G51" s="4" t="s">
        <v>221</v>
      </c>
      <c r="H51" s="4" t="s">
        <v>222</v>
      </c>
      <c r="I51" s="4" t="s">
        <v>223</v>
      </c>
      <c r="J51" s="209" t="s">
        <v>591</v>
      </c>
      <c r="L51" s="73"/>
      <c r="M51" s="73"/>
      <c r="N51" s="73"/>
      <c r="O51" s="73"/>
      <c r="P51" s="73"/>
    </row>
    <row r="52" spans="1:16" ht="63.75">
      <c r="A52" s="120">
        <v>29</v>
      </c>
      <c r="B52" s="142" t="s">
        <v>224</v>
      </c>
      <c r="C52" s="143"/>
      <c r="D52" s="144" t="s">
        <v>179</v>
      </c>
      <c r="E52" s="144" t="s">
        <v>225</v>
      </c>
      <c r="F52" s="144" t="s">
        <v>226</v>
      </c>
      <c r="G52" s="144" t="s">
        <v>227</v>
      </c>
      <c r="H52" s="145" t="s">
        <v>228</v>
      </c>
      <c r="I52" s="145" t="s">
        <v>229</v>
      </c>
      <c r="J52" s="142"/>
      <c r="K52" s="142"/>
      <c r="L52" s="142"/>
      <c r="M52" s="73"/>
      <c r="N52" s="73"/>
      <c r="O52" s="73"/>
      <c r="P52" s="73"/>
    </row>
    <row r="53" spans="1:16" ht="12.75">
      <c r="A53" s="120" t="s">
        <v>705</v>
      </c>
      <c r="C53" s="146" t="s">
        <v>231</v>
      </c>
      <c r="D53" s="147">
        <v>0</v>
      </c>
      <c r="E53" s="147">
        <v>0</v>
      </c>
      <c r="F53" s="148"/>
      <c r="G53" s="148"/>
      <c r="H53" s="147"/>
      <c r="I53" s="149">
        <f>+H53*E53*D53</f>
        <v>0</v>
      </c>
      <c r="M53" s="73"/>
      <c r="N53" s="73"/>
      <c r="O53" s="73"/>
      <c r="P53" s="73"/>
    </row>
    <row r="54" spans="1:16" ht="12.75">
      <c r="A54" s="120" t="s">
        <v>706</v>
      </c>
      <c r="C54" s="146" t="s">
        <v>233</v>
      </c>
      <c r="D54" s="60">
        <v>0</v>
      </c>
      <c r="E54" s="147">
        <v>0</v>
      </c>
      <c r="F54" s="148"/>
      <c r="G54" s="148"/>
      <c r="H54" s="147"/>
      <c r="I54" s="149">
        <f>+H54*E54*D54</f>
        <v>0</v>
      </c>
      <c r="M54" s="73"/>
      <c r="N54" s="73"/>
      <c r="O54" s="73"/>
      <c r="P54" s="73"/>
    </row>
    <row r="55" spans="1:16" ht="12.75">
      <c r="A55" s="120" t="s">
        <v>707</v>
      </c>
      <c r="C55" s="146" t="s">
        <v>235</v>
      </c>
      <c r="D55" s="60"/>
      <c r="E55" s="147"/>
      <c r="F55" s="148"/>
      <c r="G55" s="148"/>
      <c r="H55" s="147"/>
      <c r="I55" s="149"/>
      <c r="M55" s="73"/>
      <c r="N55" s="73"/>
      <c r="O55" s="73"/>
      <c r="P55" s="73"/>
    </row>
    <row r="56" spans="1:16" ht="12.75">
      <c r="A56" s="120" t="s">
        <v>708</v>
      </c>
      <c r="C56" s="146" t="s">
        <v>709</v>
      </c>
      <c r="D56" s="60"/>
      <c r="E56" s="147"/>
      <c r="F56" s="148"/>
      <c r="G56" s="148"/>
      <c r="H56" s="147"/>
      <c r="I56" s="149"/>
      <c r="M56" s="73"/>
      <c r="N56" s="73"/>
      <c r="O56" s="73"/>
      <c r="P56" s="73"/>
    </row>
    <row r="57" spans="1:16" ht="12.75">
      <c r="A57" s="120" t="s">
        <v>710</v>
      </c>
      <c r="C57" s="146" t="s">
        <v>18</v>
      </c>
      <c r="D57" s="60"/>
      <c r="E57" s="147"/>
      <c r="F57" s="148"/>
      <c r="G57" s="148"/>
      <c r="H57" s="147"/>
      <c r="I57" s="149"/>
      <c r="M57" s="73"/>
      <c r="N57" s="73"/>
      <c r="O57" s="73"/>
      <c r="P57" s="73"/>
    </row>
    <row r="58" spans="1:16" ht="12.75">
      <c r="A58" s="120" t="s">
        <v>711</v>
      </c>
      <c r="C58" s="150" t="s">
        <v>18</v>
      </c>
      <c r="D58" s="151">
        <v>0</v>
      </c>
      <c r="E58" s="152">
        <v>0</v>
      </c>
      <c r="F58" s="153"/>
      <c r="G58" s="153"/>
      <c r="H58" s="152"/>
      <c r="I58" s="154">
        <f>+H58*E58*D58</f>
        <v>0</v>
      </c>
      <c r="M58" s="73"/>
      <c r="N58" s="73"/>
      <c r="O58" s="73"/>
      <c r="P58" s="73"/>
    </row>
    <row r="59" spans="1:16" ht="12.75">
      <c r="A59" s="120">
        <v>31</v>
      </c>
      <c r="C59" s="142" t="s">
        <v>20</v>
      </c>
      <c r="D59" s="5">
        <f>SUM(D53:D58)</f>
        <v>0</v>
      </c>
      <c r="E59" s="114"/>
      <c r="F59" s="73"/>
      <c r="G59" s="73"/>
      <c r="H59" s="114"/>
      <c r="I59" s="149">
        <f>SUM(I53:I58)</f>
        <v>0</v>
      </c>
      <c r="M59" s="73"/>
      <c r="N59" s="73"/>
      <c r="O59" s="73"/>
      <c r="P59" s="73"/>
    </row>
    <row r="60" spans="1:7" ht="12.75">
      <c r="A60" s="415"/>
      <c r="B60" s="416"/>
      <c r="C60" s="417"/>
      <c r="D60" s="417"/>
      <c r="E60" s="417"/>
      <c r="F60" s="417"/>
      <c r="G60" s="417"/>
    </row>
    <row r="61" spans="1:16" ht="12.75">
      <c r="A61" s="415"/>
      <c r="B61" s="416"/>
      <c r="C61" s="417"/>
      <c r="D61" s="417"/>
      <c r="E61" s="417"/>
      <c r="F61" s="417"/>
      <c r="G61" s="417"/>
      <c r="L61" s="73"/>
      <c r="M61" s="73"/>
      <c r="N61" s="73"/>
      <c r="O61" s="73"/>
      <c r="P61" s="73"/>
    </row>
    <row r="62" spans="1:16" ht="12.75">
      <c r="A62" s="415"/>
      <c r="B62" s="416"/>
      <c r="C62" s="417"/>
      <c r="D62" s="417"/>
      <c r="E62" s="417"/>
      <c r="F62" s="417"/>
      <c r="G62" s="417"/>
      <c r="L62" s="73"/>
      <c r="M62" s="73"/>
      <c r="N62" s="73"/>
      <c r="O62" s="73"/>
      <c r="P62" s="73"/>
    </row>
    <row r="63" spans="1:1" ht="12.75">
      <c r="A63" s="120" t="s">
        <v>290</v>
      </c>
    </row>
    <row r="64" spans="1:11" ht="12.75" customHeight="1">
      <c r="A64" s="120" t="s">
        <v>236</v>
      </c>
      <c r="B64" s="1049" t="s">
        <v>712</v>
      </c>
      <c r="C64" s="1049"/>
      <c r="D64" s="1049"/>
      <c r="E64" s="1049"/>
      <c r="F64" s="1049"/>
      <c r="G64" s="1049"/>
      <c r="H64" s="1049"/>
      <c r="I64" s="1049"/>
      <c r="J64" s="1049"/>
      <c r="K64" s="1049"/>
    </row>
    <row r="65" spans="1:12" ht="12.75" customHeight="1">
      <c r="A65" s="120" t="s">
        <v>238</v>
      </c>
      <c r="B65" s="1049" t="s">
        <v>713</v>
      </c>
      <c r="C65" s="1049"/>
      <c r="D65" s="1049"/>
      <c r="E65" s="1049"/>
      <c r="F65" s="1049"/>
      <c r="G65" s="1049"/>
      <c r="H65" s="1049"/>
      <c r="I65" s="1049"/>
      <c r="J65" s="1049"/>
      <c r="K65" s="1049"/>
      <c r="L65" s="209"/>
    </row>
    <row r="66" spans="1:11" ht="12.75" customHeight="1">
      <c r="A66" s="120" t="s">
        <v>251</v>
      </c>
      <c r="B66" s="1" t="s">
        <v>714</v>
      </c>
      <c r="C66" s="418"/>
      <c r="D66" s="418"/>
      <c r="E66" s="418"/>
      <c r="F66" s="418"/>
      <c r="G66" s="418"/>
      <c r="H66" s="418"/>
      <c r="I66" s="418"/>
      <c r="J66" s="418"/>
      <c r="K66" s="418"/>
    </row>
    <row r="67" spans="1:11" ht="12.75">
      <c r="A67" s="120"/>
      <c r="B67" s="419" t="s">
        <v>715</v>
      </c>
      <c r="C67" s="420"/>
      <c r="D67" s="420"/>
      <c r="E67" s="420"/>
      <c r="F67" s="420"/>
      <c r="G67" s="420"/>
      <c r="H67" s="420"/>
      <c r="I67" s="420"/>
      <c r="J67" s="420"/>
      <c r="K67" s="420"/>
    </row>
    <row r="68" spans="1:10" ht="28.9" customHeight="1">
      <c r="A68" s="120" t="s">
        <v>252</v>
      </c>
      <c r="B68" s="1040" t="s">
        <v>716</v>
      </c>
      <c r="C68" s="1040"/>
      <c r="D68" s="1040"/>
      <c r="E68" s="1040"/>
      <c r="F68" s="1040"/>
      <c r="G68" s="1040"/>
      <c r="H68" s="1040"/>
      <c r="I68" s="1040"/>
      <c r="J68" s="1040"/>
    </row>
    <row r="69" spans="1:11" ht="24" customHeight="1">
      <c r="A69" s="155" t="s">
        <v>253</v>
      </c>
      <c r="B69" s="1045" t="s">
        <v>717</v>
      </c>
      <c r="C69" s="1045"/>
      <c r="D69" s="1045"/>
      <c r="E69" s="1045"/>
      <c r="F69" s="1045"/>
      <c r="G69" s="1045"/>
      <c r="H69" s="1045"/>
      <c r="I69" s="1045"/>
      <c r="J69" s="1045"/>
      <c r="K69" s="321"/>
    </row>
    <row r="70" spans="1:11" ht="12.75" customHeight="1">
      <c r="A70" s="120" t="s">
        <v>254</v>
      </c>
      <c r="B70" s="1046" t="s">
        <v>718</v>
      </c>
      <c r="C70" s="1045"/>
      <c r="D70" s="1045"/>
      <c r="E70" s="1045"/>
      <c r="F70" s="1045"/>
      <c r="G70" s="1045"/>
      <c r="H70" s="1045"/>
      <c r="I70" s="1045"/>
      <c r="J70" s="1045"/>
      <c r="K70" s="1045"/>
    </row>
    <row r="71" spans="1:11" ht="43.5" customHeight="1">
      <c r="A71" s="155" t="s">
        <v>255</v>
      </c>
      <c r="B71" s="1045" t="s">
        <v>237</v>
      </c>
      <c r="C71" s="1045"/>
      <c r="D71" s="1045"/>
      <c r="E71" s="1045"/>
      <c r="F71" s="1045"/>
      <c r="G71" s="1045"/>
      <c r="H71" s="1045"/>
      <c r="I71" s="1045"/>
      <c r="J71" s="1045"/>
      <c r="K71" s="321"/>
    </row>
    <row r="72" spans="1:2" ht="12.75">
      <c r="A72" s="120" t="s">
        <v>256</v>
      </c>
      <c r="B72" s="156" t="s">
        <v>719</v>
      </c>
    </row>
    <row r="75" spans="2:2" ht="12.75">
      <c r="B75" s="52"/>
    </row>
    <row r="76" spans="2:2" ht="12.75">
      <c r="B76" s="421"/>
    </row>
  </sheetData>
  <mergeCells count="10">
    <mergeCell ref="B68:J68"/>
    <mergeCell ref="B69:J69"/>
    <mergeCell ref="B70:K70"/>
    <mergeCell ref="B71:J71"/>
    <mergeCell ref="C6:D6"/>
    <mergeCell ref="G6:H6"/>
    <mergeCell ref="I6:J6"/>
    <mergeCell ref="C26:I26"/>
    <mergeCell ref="B64:K64"/>
    <mergeCell ref="B65:K65"/>
  </mergeCells>
  <pageMargins left="0.25" right="0.25" top="0.75" bottom="0.75" header="0.3" footer="0.3"/>
  <pageSetup fitToHeight="0" orientation="landscape" scale="54" r:id="rId1"/>
  <rowBreaks count="1" manualBreakCount="1">
    <brk id="46"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FF8E6-D2B4-4327-B42A-5DE4AC9BE5AC}">
  <dimension ref="A1:P96"/>
  <sheetViews>
    <sheetView view="pageBreakPreview" zoomScaleNormal="100" zoomScaleSheetLayoutView="100" workbookViewId="0" topLeftCell="A1"/>
  </sheetViews>
  <sheetFormatPr defaultColWidth="17.9955555555556" defaultRowHeight="13.2"/>
  <cols>
    <col min="1" max="1" width="7.44444444444444" style="422" bestFit="1" customWidth="1"/>
    <col min="2" max="2" width="26.8888888888889" style="1" customWidth="1"/>
    <col min="3" max="3" width="18.4444444444444" style="1" customWidth="1"/>
    <col min="4" max="4" width="21" style="1" customWidth="1"/>
    <col min="5" max="5" width="13.3333333333333" style="1" customWidth="1"/>
    <col min="6" max="6" width="14" style="1" customWidth="1"/>
    <col min="7" max="7" width="12.8888888888889" style="1" customWidth="1"/>
    <col min="8" max="8" width="16" style="1" bestFit="1" customWidth="1"/>
    <col min="9" max="9" width="16" style="1" customWidth="1"/>
    <col min="10" max="10" width="17.5555555555556" style="1" bestFit="1" customWidth="1"/>
    <col min="11" max="11" width="16.1111111111111" style="1" bestFit="1" customWidth="1"/>
    <col min="12" max="12" width="17" style="1" customWidth="1"/>
    <col min="13" max="13" width="16.4444444444444" style="1" customWidth="1"/>
    <col min="14" max="14" width="18" style="1"/>
    <col min="15" max="15" width="12.8888888888889" style="1" bestFit="1" customWidth="1"/>
    <col min="16" max="16384" width="18" style="1"/>
  </cols>
  <sheetData>
    <row r="1" spans="7:13" ht="12.75">
      <c r="G1" s="6" t="s">
        <v>720</v>
      </c>
      <c r="M1" s="209" t="s">
        <v>588</v>
      </c>
    </row>
    <row r="2" spans="7:7" ht="15" customHeight="1">
      <c r="G2" s="4" t="s">
        <v>721</v>
      </c>
    </row>
    <row r="3" spans="4:14" ht="12.75">
      <c r="D3" s="40"/>
      <c r="E3" s="40"/>
      <c r="F3" s="40"/>
      <c r="G3" s="37" t="str">
        <f>+'Attachment H'!D5</f>
        <v>GridLiance High Plains LLC</v>
      </c>
      <c r="H3" s="40"/>
      <c r="J3" s="40"/>
      <c r="K3" s="40"/>
      <c r="L3" s="40"/>
      <c r="M3" s="40"/>
      <c r="N3" s="40"/>
    </row>
    <row r="4" spans="2:2" ht="12.75">
      <c r="B4" s="38"/>
    </row>
    <row r="6" spans="1:15" s="425" customFormat="1" ht="69.75" customHeight="1">
      <c r="A6" s="423" t="s">
        <v>1</v>
      </c>
      <c r="B6" s="424" t="s">
        <v>194</v>
      </c>
      <c r="C6" s="424" t="s">
        <v>722</v>
      </c>
      <c r="D6" s="424" t="s">
        <v>723</v>
      </c>
      <c r="E6" s="424" t="s">
        <v>724</v>
      </c>
      <c r="F6" s="424" t="s">
        <v>725</v>
      </c>
      <c r="G6" s="424" t="s">
        <v>726</v>
      </c>
      <c r="H6" s="424" t="s">
        <v>727</v>
      </c>
      <c r="I6" s="424" t="s">
        <v>728</v>
      </c>
      <c r="J6" s="424" t="s">
        <v>729</v>
      </c>
      <c r="K6" s="424" t="s">
        <v>730</v>
      </c>
      <c r="L6" s="131" t="s">
        <v>464</v>
      </c>
      <c r="M6" s="424" t="s">
        <v>731</v>
      </c>
      <c r="O6" s="426"/>
    </row>
    <row r="7" spans="1:15" s="425" customFormat="1" ht="12.75">
      <c r="A7" s="423"/>
      <c r="B7" s="424"/>
      <c r="C7" s="427" t="s">
        <v>197</v>
      </c>
      <c r="D7" s="129" t="s">
        <v>198</v>
      </c>
      <c r="E7" s="129" t="s">
        <v>199</v>
      </c>
      <c r="F7" s="130" t="s">
        <v>200</v>
      </c>
      <c r="G7" s="130" t="s">
        <v>201</v>
      </c>
      <c r="H7" s="130" t="s">
        <v>221</v>
      </c>
      <c r="I7" s="131" t="s">
        <v>222</v>
      </c>
      <c r="J7" s="131" t="s">
        <v>223</v>
      </c>
      <c r="K7" s="131" t="s">
        <v>678</v>
      </c>
      <c r="L7" s="4" t="s">
        <v>732</v>
      </c>
      <c r="M7" s="4" t="s">
        <v>733</v>
      </c>
      <c r="O7" s="426"/>
    </row>
    <row r="8" spans="1:15" ht="25.5" customHeight="1">
      <c r="A8" s="214"/>
      <c r="B8" s="128" t="s">
        <v>734</v>
      </c>
      <c r="C8" s="427">
        <v>1</v>
      </c>
      <c r="D8" s="427">
        <v>2</v>
      </c>
      <c r="E8" s="427">
        <v>3</v>
      </c>
      <c r="F8" s="427">
        <v>4</v>
      </c>
      <c r="G8" s="427">
        <v>5</v>
      </c>
      <c r="H8" s="427">
        <v>6</v>
      </c>
      <c r="I8" s="427">
        <v>7</v>
      </c>
      <c r="J8" s="427">
        <v>9</v>
      </c>
      <c r="K8" s="427">
        <v>11</v>
      </c>
      <c r="L8" s="427">
        <v>12</v>
      </c>
      <c r="M8" s="427">
        <v>16</v>
      </c>
      <c r="O8" s="428"/>
    </row>
    <row r="9" spans="1:13" s="430" customFormat="1" ht="24.75" customHeight="1">
      <c r="A9" s="214"/>
      <c r="B9" s="429" t="s">
        <v>735</v>
      </c>
      <c r="C9" s="4" t="s">
        <v>736</v>
      </c>
      <c r="D9" s="4" t="s">
        <v>737</v>
      </c>
      <c r="E9" s="4" t="s">
        <v>738</v>
      </c>
      <c r="F9" s="4" t="s">
        <v>739</v>
      </c>
      <c r="G9" s="116" t="s">
        <v>740</v>
      </c>
      <c r="H9" s="116" t="str">
        <f>+G9</f>
        <v>(Note E)</v>
      </c>
      <c r="I9" s="116" t="str">
        <f>+H9</f>
        <v>(Note E)</v>
      </c>
      <c r="J9" s="116" t="s">
        <v>741</v>
      </c>
      <c r="K9" s="116" t="s">
        <v>742</v>
      </c>
      <c r="L9" s="116" t="s">
        <v>743</v>
      </c>
      <c r="M9" s="4" t="s">
        <v>744</v>
      </c>
    </row>
    <row r="10" spans="1:2" s="430" customFormat="1" ht="12.75">
      <c r="A10" s="214"/>
      <c r="B10" s="429"/>
    </row>
    <row r="11" spans="1:15" ht="12.75">
      <c r="A11" s="214"/>
      <c r="B11" s="431"/>
      <c r="C11" s="427"/>
      <c r="D11" s="427"/>
      <c r="E11" s="427"/>
      <c r="F11" s="427"/>
      <c r="G11" s="427"/>
      <c r="H11" s="427"/>
      <c r="I11" s="427"/>
      <c r="J11" s="427"/>
      <c r="K11" s="427"/>
      <c r="L11" s="427"/>
      <c r="M11" s="427"/>
      <c r="O11" s="428"/>
    </row>
    <row r="12" spans="1:15" ht="12.75">
      <c r="A12" s="214" t="s">
        <v>745</v>
      </c>
      <c r="B12" s="432" t="s">
        <v>207</v>
      </c>
      <c r="C12" s="433">
        <v>25971.710174646909</v>
      </c>
      <c r="D12" s="257">
        <v>0</v>
      </c>
      <c r="E12" s="257">
        <v>0</v>
      </c>
      <c r="F12" s="59">
        <v>68801.319157587757</v>
      </c>
      <c r="G12" s="257">
        <v>0</v>
      </c>
      <c r="H12" s="257">
        <v>0</v>
      </c>
      <c r="I12" s="257">
        <v>0</v>
      </c>
      <c r="J12" s="257">
        <v>0</v>
      </c>
      <c r="K12" s="257">
        <v>0</v>
      </c>
      <c r="L12" s="257">
        <v>0</v>
      </c>
      <c r="M12" s="59">
        <f>+'4- Rate Base'!C11/480</f>
        <v>0</v>
      </c>
      <c r="O12" s="434"/>
    </row>
    <row r="13" spans="1:15" ht="12.75">
      <c r="A13" s="214" t="s">
        <v>746</v>
      </c>
      <c r="B13" s="432" t="s">
        <v>208</v>
      </c>
      <c r="C13" s="433">
        <v>25971.710174646909</v>
      </c>
      <c r="D13" s="257">
        <v>0</v>
      </c>
      <c r="E13" s="257">
        <v>0</v>
      </c>
      <c r="F13" s="59">
        <v>68801.319157587757</v>
      </c>
      <c r="G13" s="257">
        <v>0</v>
      </c>
      <c r="H13" s="257">
        <v>0</v>
      </c>
      <c r="I13" s="257">
        <v>0</v>
      </c>
      <c r="J13" s="257">
        <v>0</v>
      </c>
      <c r="K13" s="257">
        <v>0</v>
      </c>
      <c r="L13" s="257">
        <v>0</v>
      </c>
      <c r="M13" s="59">
        <f t="shared" si="0" ref="M13:M23">+M12</f>
        <v>0</v>
      </c>
      <c r="O13" s="434"/>
    </row>
    <row r="14" spans="1:15" ht="12.75">
      <c r="A14" s="214" t="s">
        <v>747</v>
      </c>
      <c r="B14" s="432" t="s">
        <v>748</v>
      </c>
      <c r="C14" s="433">
        <v>25971.710174646909</v>
      </c>
      <c r="D14" s="257">
        <v>0</v>
      </c>
      <c r="E14" s="257">
        <v>0</v>
      </c>
      <c r="F14" s="59">
        <v>68801.319157587757</v>
      </c>
      <c r="G14" s="257">
        <v>0</v>
      </c>
      <c r="H14" s="257">
        <v>0</v>
      </c>
      <c r="I14" s="257">
        <v>0</v>
      </c>
      <c r="J14" s="257">
        <v>0</v>
      </c>
      <c r="K14" s="257">
        <v>0</v>
      </c>
      <c r="L14" s="257">
        <v>0</v>
      </c>
      <c r="M14" s="59">
        <f t="shared" si="0"/>
        <v>0</v>
      </c>
      <c r="O14" s="434"/>
    </row>
    <row r="15" spans="1:15" ht="12.75">
      <c r="A15" s="214" t="s">
        <v>749</v>
      </c>
      <c r="B15" s="432" t="s">
        <v>210</v>
      </c>
      <c r="C15" s="433">
        <v>25971.710174646909</v>
      </c>
      <c r="D15" s="257">
        <v>0</v>
      </c>
      <c r="E15" s="257">
        <v>0</v>
      </c>
      <c r="F15" s="59">
        <v>68801.319157587757</v>
      </c>
      <c r="G15" s="257">
        <v>0</v>
      </c>
      <c r="H15" s="257">
        <v>0</v>
      </c>
      <c r="I15" s="257">
        <v>0</v>
      </c>
      <c r="J15" s="257">
        <v>0</v>
      </c>
      <c r="K15" s="257">
        <v>0</v>
      </c>
      <c r="L15" s="257">
        <v>0</v>
      </c>
      <c r="M15" s="59">
        <f t="shared" si="0"/>
        <v>0</v>
      </c>
      <c r="O15" s="434"/>
    </row>
    <row r="16" spans="1:15" ht="12.75">
      <c r="A16" s="214" t="s">
        <v>302</v>
      </c>
      <c r="B16" s="432" t="s">
        <v>211</v>
      </c>
      <c r="C16" s="433">
        <v>25971.710174646909</v>
      </c>
      <c r="D16" s="257">
        <v>0</v>
      </c>
      <c r="E16" s="257">
        <v>0</v>
      </c>
      <c r="F16" s="59">
        <v>68801.319157587757</v>
      </c>
      <c r="G16" s="257">
        <v>0</v>
      </c>
      <c r="H16" s="257">
        <v>0</v>
      </c>
      <c r="I16" s="257">
        <v>0</v>
      </c>
      <c r="J16" s="257">
        <v>0</v>
      </c>
      <c r="K16" s="257">
        <v>0</v>
      </c>
      <c r="L16" s="257">
        <v>0</v>
      </c>
      <c r="M16" s="59">
        <f t="shared" si="0"/>
        <v>0</v>
      </c>
      <c r="O16" s="434"/>
    </row>
    <row r="17" spans="1:15" ht="12.75">
      <c r="A17" s="214" t="s">
        <v>329</v>
      </c>
      <c r="B17" s="432" t="s">
        <v>212</v>
      </c>
      <c r="C17" s="433">
        <v>25971.710174646909</v>
      </c>
      <c r="D17" s="257">
        <v>0</v>
      </c>
      <c r="E17" s="257">
        <v>0</v>
      </c>
      <c r="F17" s="59">
        <v>68801.319157587757</v>
      </c>
      <c r="G17" s="257">
        <v>0</v>
      </c>
      <c r="H17" s="257">
        <v>0</v>
      </c>
      <c r="I17" s="257">
        <v>0</v>
      </c>
      <c r="J17" s="257">
        <v>0</v>
      </c>
      <c r="K17" s="257">
        <v>0</v>
      </c>
      <c r="L17" s="257">
        <v>0</v>
      </c>
      <c r="M17" s="59">
        <f t="shared" si="0"/>
        <v>0</v>
      </c>
      <c r="O17" s="434"/>
    </row>
    <row r="18" spans="1:15" ht="12.75">
      <c r="A18" s="214" t="s">
        <v>333</v>
      </c>
      <c r="B18" s="432" t="s">
        <v>213</v>
      </c>
      <c r="C18" s="433">
        <v>25971.710174646909</v>
      </c>
      <c r="D18" s="257">
        <v>0</v>
      </c>
      <c r="E18" s="257">
        <v>0</v>
      </c>
      <c r="F18" s="59">
        <v>68801.319157587757</v>
      </c>
      <c r="G18" s="257">
        <v>0</v>
      </c>
      <c r="H18" s="257">
        <v>0</v>
      </c>
      <c r="I18" s="257">
        <v>0</v>
      </c>
      <c r="J18" s="257">
        <v>0</v>
      </c>
      <c r="K18" s="257">
        <v>0</v>
      </c>
      <c r="L18" s="257">
        <v>0</v>
      </c>
      <c r="M18" s="59">
        <f t="shared" si="0"/>
        <v>0</v>
      </c>
      <c r="O18" s="434"/>
    </row>
    <row r="19" spans="1:15" ht="12.75">
      <c r="A19" s="214" t="s">
        <v>336</v>
      </c>
      <c r="B19" s="432" t="s">
        <v>750</v>
      </c>
      <c r="C19" s="433">
        <v>25971.710174646909</v>
      </c>
      <c r="D19" s="257">
        <v>0</v>
      </c>
      <c r="E19" s="257">
        <v>0</v>
      </c>
      <c r="F19" s="59">
        <v>68801.319157587757</v>
      </c>
      <c r="G19" s="257">
        <v>0</v>
      </c>
      <c r="H19" s="257">
        <v>0</v>
      </c>
      <c r="I19" s="257">
        <v>0</v>
      </c>
      <c r="J19" s="257">
        <v>0</v>
      </c>
      <c r="K19" s="257">
        <v>0</v>
      </c>
      <c r="L19" s="257">
        <v>0</v>
      </c>
      <c r="M19" s="59">
        <f t="shared" si="0"/>
        <v>0</v>
      </c>
      <c r="O19" s="434"/>
    </row>
    <row r="20" spans="1:15" ht="12.75">
      <c r="A20" s="214" t="s">
        <v>339</v>
      </c>
      <c r="B20" s="432" t="s">
        <v>215</v>
      </c>
      <c r="C20" s="433">
        <v>25971.710174646909</v>
      </c>
      <c r="D20" s="257">
        <v>0</v>
      </c>
      <c r="E20" s="257">
        <v>0</v>
      </c>
      <c r="F20" s="59">
        <v>68801.319157587757</v>
      </c>
      <c r="G20" s="257">
        <v>0</v>
      </c>
      <c r="H20" s="257">
        <v>0</v>
      </c>
      <c r="I20" s="257">
        <v>0</v>
      </c>
      <c r="J20" s="257">
        <v>0</v>
      </c>
      <c r="K20" s="257">
        <v>0</v>
      </c>
      <c r="L20" s="257">
        <v>0</v>
      </c>
      <c r="M20" s="59">
        <f t="shared" si="0"/>
        <v>0</v>
      </c>
      <c r="O20" s="434"/>
    </row>
    <row r="21" spans="1:15" ht="12.75">
      <c r="A21" s="214" t="s">
        <v>342</v>
      </c>
      <c r="B21" s="432" t="s">
        <v>216</v>
      </c>
      <c r="C21" s="433">
        <v>25971.710174646909</v>
      </c>
      <c r="D21" s="257">
        <v>0</v>
      </c>
      <c r="E21" s="257">
        <v>0</v>
      </c>
      <c r="F21" s="59">
        <v>68801.319157587757</v>
      </c>
      <c r="G21" s="257">
        <v>0</v>
      </c>
      <c r="H21" s="257">
        <v>0</v>
      </c>
      <c r="I21" s="257">
        <v>0</v>
      </c>
      <c r="J21" s="257">
        <v>0</v>
      </c>
      <c r="K21" s="257">
        <v>0</v>
      </c>
      <c r="L21" s="257">
        <v>0</v>
      </c>
      <c r="M21" s="59">
        <f t="shared" si="0"/>
        <v>0</v>
      </c>
      <c r="O21" s="434"/>
    </row>
    <row r="22" spans="1:15" ht="12.75">
      <c r="A22" s="214" t="s">
        <v>345</v>
      </c>
      <c r="B22" s="432" t="s">
        <v>217</v>
      </c>
      <c r="C22" s="433">
        <v>25971.710174646909</v>
      </c>
      <c r="D22" s="257">
        <v>0</v>
      </c>
      <c r="E22" s="257">
        <v>0</v>
      </c>
      <c r="F22" s="59">
        <v>68801.319157587757</v>
      </c>
      <c r="G22" s="257">
        <v>0</v>
      </c>
      <c r="H22" s="257">
        <v>0</v>
      </c>
      <c r="I22" s="257">
        <v>0</v>
      </c>
      <c r="J22" s="257">
        <v>0</v>
      </c>
      <c r="K22" s="257">
        <v>0</v>
      </c>
      <c r="L22" s="257">
        <v>0</v>
      </c>
      <c r="M22" s="59">
        <f t="shared" si="0"/>
        <v>0</v>
      </c>
      <c r="O22" s="434"/>
    </row>
    <row r="23" spans="1:15" ht="12.75">
      <c r="A23" s="214" t="s">
        <v>348</v>
      </c>
      <c r="B23" s="432" t="s">
        <v>751</v>
      </c>
      <c r="C23" s="433">
        <v>25971.710174646909</v>
      </c>
      <c r="D23" s="257">
        <v>0</v>
      </c>
      <c r="E23" s="257">
        <v>0</v>
      </c>
      <c r="F23" s="59">
        <v>68801.319157587757</v>
      </c>
      <c r="G23" s="257">
        <v>0</v>
      </c>
      <c r="H23" s="257">
        <v>0</v>
      </c>
      <c r="I23" s="257">
        <v>0</v>
      </c>
      <c r="J23" s="257">
        <v>0</v>
      </c>
      <c r="K23" s="257">
        <v>0</v>
      </c>
      <c r="L23" s="257">
        <v>0</v>
      </c>
      <c r="M23" s="59">
        <f t="shared" si="0"/>
        <v>0</v>
      </c>
      <c r="O23" s="434"/>
    </row>
    <row r="24" spans="1:15" ht="12.75">
      <c r="A24" s="214" t="s">
        <v>351</v>
      </c>
      <c r="B24" s="435" t="s">
        <v>20</v>
      </c>
      <c r="C24" s="436">
        <f t="shared" si="1" ref="C24:M24">SUM(C12:C23)</f>
        <v>311660.52209576289</v>
      </c>
      <c r="D24" s="437">
        <f t="shared" si="1"/>
        <v>0</v>
      </c>
      <c r="E24" s="437">
        <f t="shared" si="1"/>
        <v>0</v>
      </c>
      <c r="F24" s="437">
        <f t="shared" si="1"/>
        <v>825615.82989105291</v>
      </c>
      <c r="G24" s="437">
        <f t="shared" si="1"/>
        <v>0</v>
      </c>
      <c r="H24" s="437">
        <f t="shared" si="1"/>
        <v>0</v>
      </c>
      <c r="I24" s="437">
        <f t="shared" si="1"/>
        <v>0</v>
      </c>
      <c r="J24" s="437">
        <f t="shared" si="1"/>
        <v>0</v>
      </c>
      <c r="K24" s="437">
        <f t="shared" si="1"/>
        <v>0</v>
      </c>
      <c r="L24" s="437">
        <f t="shared" si="1"/>
        <v>0</v>
      </c>
      <c r="M24" s="437">
        <f t="shared" si="1"/>
        <v>0</v>
      </c>
      <c r="O24" s="438"/>
    </row>
    <row r="25" spans="1:15" ht="12.75">
      <c r="A25" s="214"/>
      <c r="B25" s="432"/>
      <c r="C25" s="432"/>
      <c r="D25" s="432"/>
      <c r="E25" s="432"/>
      <c r="F25" s="432"/>
      <c r="G25" s="432"/>
      <c r="H25" s="432"/>
      <c r="I25" s="432"/>
      <c r="J25" s="432"/>
      <c r="N25" s="432"/>
      <c r="O25" s="439"/>
    </row>
    <row r="26" spans="1:15" ht="12.75">
      <c r="A26" s="214"/>
      <c r="B26" s="432"/>
      <c r="C26" s="432"/>
      <c r="D26" s="432"/>
      <c r="E26" s="432"/>
      <c r="F26" s="432"/>
      <c r="G26" s="432"/>
      <c r="H26" s="432"/>
      <c r="I26" s="432"/>
      <c r="J26" s="432"/>
      <c r="N26" s="432"/>
      <c r="O26" s="439"/>
    </row>
    <row r="27" spans="1:14" ht="38.25">
      <c r="A27" s="214"/>
      <c r="C27" s="424" t="s">
        <v>752</v>
      </c>
      <c r="D27" s="425" t="s">
        <v>753</v>
      </c>
      <c r="E27" s="424" t="s">
        <v>754</v>
      </c>
      <c r="F27" s="425" t="s">
        <v>755</v>
      </c>
      <c r="G27" s="424" t="s">
        <v>756</v>
      </c>
      <c r="H27" s="424" t="s">
        <v>757</v>
      </c>
      <c r="I27" s="424" t="s">
        <v>758</v>
      </c>
      <c r="J27" s="424" t="s">
        <v>759</v>
      </c>
      <c r="K27" s="424" t="s">
        <v>760</v>
      </c>
      <c r="L27" s="424" t="s">
        <v>541</v>
      </c>
      <c r="M27" s="424" t="s">
        <v>128</v>
      </c>
      <c r="N27" s="432"/>
    </row>
    <row r="28" spans="1:14" ht="12.75">
      <c r="A28" s="214"/>
      <c r="C28" s="427" t="s">
        <v>197</v>
      </c>
      <c r="D28" s="129" t="s">
        <v>198</v>
      </c>
      <c r="E28" s="129" t="s">
        <v>199</v>
      </c>
      <c r="F28" s="130" t="s">
        <v>200</v>
      </c>
      <c r="G28" s="130" t="s">
        <v>201</v>
      </c>
      <c r="H28" s="130" t="s">
        <v>221</v>
      </c>
      <c r="I28" s="130" t="s">
        <v>222</v>
      </c>
      <c r="J28" s="131" t="s">
        <v>223</v>
      </c>
      <c r="K28" s="131" t="s">
        <v>678</v>
      </c>
      <c r="L28" s="440"/>
      <c r="M28" s="4" t="s">
        <v>733</v>
      </c>
      <c r="N28" s="432"/>
    </row>
    <row r="29" spans="1:14" ht="25.5">
      <c r="A29" s="214"/>
      <c r="B29" s="128" t="s">
        <v>761</v>
      </c>
      <c r="C29" s="427">
        <v>17</v>
      </c>
      <c r="D29" s="214">
        <v>19</v>
      </c>
      <c r="E29" s="427">
        <v>23</v>
      </c>
      <c r="F29" s="427">
        <v>24</v>
      </c>
      <c r="G29" s="427">
        <v>26</v>
      </c>
      <c r="H29" s="427">
        <v>27</v>
      </c>
      <c r="I29" s="427">
        <v>28</v>
      </c>
      <c r="J29" s="427">
        <v>29</v>
      </c>
      <c r="K29" s="429">
        <v>37</v>
      </c>
      <c r="L29" s="441"/>
      <c r="M29" s="427">
        <v>39</v>
      </c>
      <c r="N29" s="432"/>
    </row>
    <row r="30" spans="1:14" ht="25.5">
      <c r="A30" s="214"/>
      <c r="B30" s="429" t="s">
        <v>735</v>
      </c>
      <c r="C30" s="116" t="s">
        <v>762</v>
      </c>
      <c r="D30" s="4" t="s">
        <v>763</v>
      </c>
      <c r="E30" s="4" t="s">
        <v>764</v>
      </c>
      <c r="F30" s="4" t="str">
        <f>+E30</f>
        <v>263.i</v>
      </c>
      <c r="G30" s="4" t="str">
        <f>+F30</f>
        <v>263.i</v>
      </c>
      <c r="H30" s="4" t="str">
        <f>+G30</f>
        <v>263.i</v>
      </c>
      <c r="I30" s="4" t="str">
        <f>+H30</f>
        <v>263.i</v>
      </c>
      <c r="J30" s="4" t="str">
        <f>+I30</f>
        <v>263.i</v>
      </c>
      <c r="K30" s="4" t="s">
        <v>765</v>
      </c>
      <c r="L30" s="440"/>
      <c r="M30" s="4" t="s">
        <v>766</v>
      </c>
      <c r="N30" s="432"/>
    </row>
    <row r="31" spans="1:14" s="430" customFormat="1" ht="12.75">
      <c r="A31" s="214"/>
      <c r="B31" s="429"/>
      <c r="N31" s="4"/>
    </row>
    <row r="32" spans="1:16" ht="12.75">
      <c r="A32" s="214"/>
      <c r="C32" s="427"/>
      <c r="E32" s="427"/>
      <c r="F32" s="427"/>
      <c r="G32" s="427"/>
      <c r="H32" s="427"/>
      <c r="I32" s="427"/>
      <c r="J32" s="427"/>
      <c r="K32" s="427"/>
      <c r="L32" s="427"/>
      <c r="M32" s="427"/>
      <c r="N32" s="442"/>
      <c r="O32" s="28"/>
      <c r="P32" s="28"/>
    </row>
    <row r="33" spans="1:16" ht="12.75">
      <c r="A33" s="214" t="s">
        <v>354</v>
      </c>
      <c r="B33" s="432" t="s">
        <v>207</v>
      </c>
      <c r="C33" s="257">
        <v>0</v>
      </c>
      <c r="D33" s="257">
        <v>0</v>
      </c>
      <c r="E33" s="257">
        <v>0</v>
      </c>
      <c r="F33" s="257">
        <v>0</v>
      </c>
      <c r="G33" s="60">
        <v>13249.132813855625</v>
      </c>
      <c r="H33" s="257">
        <v>0</v>
      </c>
      <c r="I33" s="257">
        <v>0</v>
      </c>
      <c r="J33" s="257">
        <v>0</v>
      </c>
      <c r="K33" s="257">
        <v>0</v>
      </c>
      <c r="L33" s="257">
        <v>0</v>
      </c>
      <c r="M33" s="60">
        <v>8.3157969089089736</v>
      </c>
      <c r="N33" s="442"/>
      <c r="O33" s="28"/>
      <c r="P33" s="28"/>
    </row>
    <row r="34" spans="1:16" ht="12.75">
      <c r="A34" s="214" t="s">
        <v>357</v>
      </c>
      <c r="B34" s="432" t="s">
        <v>208</v>
      </c>
      <c r="C34" s="257">
        <v>0</v>
      </c>
      <c r="D34" s="257">
        <v>0</v>
      </c>
      <c r="E34" s="257">
        <v>0</v>
      </c>
      <c r="F34" s="257">
        <v>0</v>
      </c>
      <c r="G34" s="60">
        <v>13249.132813855625</v>
      </c>
      <c r="H34" s="257">
        <v>0</v>
      </c>
      <c r="I34" s="257">
        <v>0</v>
      </c>
      <c r="J34" s="257">
        <v>0</v>
      </c>
      <c r="K34" s="257">
        <v>0</v>
      </c>
      <c r="L34" s="257">
        <v>0</v>
      </c>
      <c r="M34" s="60">
        <v>8.3157969089089736</v>
      </c>
      <c r="N34" s="442"/>
      <c r="O34" s="443"/>
      <c r="P34" s="28"/>
    </row>
    <row r="35" spans="1:16" ht="12.75">
      <c r="A35" s="214" t="s">
        <v>360</v>
      </c>
      <c r="B35" s="432" t="s">
        <v>748</v>
      </c>
      <c r="C35" s="257">
        <v>0</v>
      </c>
      <c r="D35" s="257">
        <v>0</v>
      </c>
      <c r="E35" s="257">
        <v>0</v>
      </c>
      <c r="F35" s="257">
        <v>0</v>
      </c>
      <c r="G35" s="60">
        <v>13249.132813855625</v>
      </c>
      <c r="H35" s="257">
        <v>0</v>
      </c>
      <c r="I35" s="257">
        <v>0</v>
      </c>
      <c r="J35" s="257">
        <v>0</v>
      </c>
      <c r="K35" s="257">
        <v>0</v>
      </c>
      <c r="L35" s="257">
        <v>0</v>
      </c>
      <c r="M35" s="60">
        <v>8.3157969089089736</v>
      </c>
      <c r="N35" s="442"/>
      <c r="O35" s="28"/>
      <c r="P35" s="28"/>
    </row>
    <row r="36" spans="1:16" ht="12.75">
      <c r="A36" s="214" t="s">
        <v>767</v>
      </c>
      <c r="B36" s="432" t="s">
        <v>210</v>
      </c>
      <c r="C36" s="257">
        <v>0</v>
      </c>
      <c r="D36" s="257">
        <v>0</v>
      </c>
      <c r="E36" s="257">
        <v>0</v>
      </c>
      <c r="F36" s="257">
        <v>0</v>
      </c>
      <c r="G36" s="60">
        <v>13249.132813855625</v>
      </c>
      <c r="H36" s="257">
        <v>0</v>
      </c>
      <c r="I36" s="257">
        <v>0</v>
      </c>
      <c r="J36" s="257">
        <v>0</v>
      </c>
      <c r="K36" s="257">
        <v>0</v>
      </c>
      <c r="L36" s="257">
        <v>0</v>
      </c>
      <c r="M36" s="60">
        <v>8.3157969089089736</v>
      </c>
      <c r="N36" s="442"/>
      <c r="O36" s="28"/>
      <c r="P36" s="28"/>
    </row>
    <row r="37" spans="1:16" ht="12.75">
      <c r="A37" s="214" t="s">
        <v>768</v>
      </c>
      <c r="B37" s="432" t="s">
        <v>211</v>
      </c>
      <c r="C37" s="257">
        <v>0</v>
      </c>
      <c r="D37" s="257">
        <v>0</v>
      </c>
      <c r="E37" s="257">
        <v>0</v>
      </c>
      <c r="F37" s="257">
        <v>0</v>
      </c>
      <c r="G37" s="60">
        <v>13249.132813855625</v>
      </c>
      <c r="H37" s="257">
        <v>0</v>
      </c>
      <c r="I37" s="257">
        <v>0</v>
      </c>
      <c r="J37" s="257">
        <v>0</v>
      </c>
      <c r="K37" s="257">
        <v>0</v>
      </c>
      <c r="L37" s="257">
        <v>0</v>
      </c>
      <c r="M37" s="60">
        <v>8.3157969089089736</v>
      </c>
      <c r="N37" s="442"/>
      <c r="O37" s="28"/>
      <c r="P37" s="28"/>
    </row>
    <row r="38" spans="1:16" ht="12.75">
      <c r="A38" s="214" t="s">
        <v>769</v>
      </c>
      <c r="B38" s="432" t="s">
        <v>212</v>
      </c>
      <c r="C38" s="257">
        <v>0</v>
      </c>
      <c r="D38" s="257">
        <v>0</v>
      </c>
      <c r="E38" s="257">
        <v>0</v>
      </c>
      <c r="F38" s="257">
        <v>0</v>
      </c>
      <c r="G38" s="60">
        <v>13249.132813855625</v>
      </c>
      <c r="H38" s="257">
        <v>0</v>
      </c>
      <c r="I38" s="257">
        <v>0</v>
      </c>
      <c r="J38" s="257">
        <v>0</v>
      </c>
      <c r="K38" s="257">
        <v>0</v>
      </c>
      <c r="L38" s="257">
        <v>0</v>
      </c>
      <c r="M38" s="60">
        <v>8.3157969089089736</v>
      </c>
      <c r="N38" s="442"/>
      <c r="O38" s="28"/>
      <c r="P38" s="28"/>
    </row>
    <row r="39" spans="1:16" ht="12.75">
      <c r="A39" s="214" t="s">
        <v>770</v>
      </c>
      <c r="B39" s="432" t="s">
        <v>213</v>
      </c>
      <c r="C39" s="257">
        <v>0</v>
      </c>
      <c r="D39" s="257">
        <v>0</v>
      </c>
      <c r="E39" s="257">
        <v>0</v>
      </c>
      <c r="F39" s="257">
        <v>0</v>
      </c>
      <c r="G39" s="60">
        <v>13249.132813855625</v>
      </c>
      <c r="H39" s="257">
        <v>0</v>
      </c>
      <c r="I39" s="257">
        <v>0</v>
      </c>
      <c r="J39" s="257">
        <v>0</v>
      </c>
      <c r="K39" s="257">
        <v>0</v>
      </c>
      <c r="L39" s="257">
        <v>0</v>
      </c>
      <c r="M39" s="60">
        <v>8.3157969089089736</v>
      </c>
      <c r="N39" s="444"/>
      <c r="O39" s="28"/>
      <c r="P39" s="28"/>
    </row>
    <row r="40" spans="1:16" ht="12.75">
      <c r="A40" s="214" t="s">
        <v>771</v>
      </c>
      <c r="B40" s="432" t="s">
        <v>750</v>
      </c>
      <c r="C40" s="257">
        <v>0</v>
      </c>
      <c r="D40" s="257">
        <v>0</v>
      </c>
      <c r="E40" s="257">
        <v>0</v>
      </c>
      <c r="F40" s="257">
        <v>0</v>
      </c>
      <c r="G40" s="60">
        <v>13249.132813855625</v>
      </c>
      <c r="H40" s="257">
        <v>0</v>
      </c>
      <c r="I40" s="257">
        <v>0</v>
      </c>
      <c r="J40" s="257">
        <v>0</v>
      </c>
      <c r="K40" s="257">
        <v>0</v>
      </c>
      <c r="L40" s="257">
        <v>0</v>
      </c>
      <c r="M40" s="60">
        <v>8.3157969089089736</v>
      </c>
      <c r="N40" s="442"/>
      <c r="O40" s="28"/>
      <c r="P40" s="28"/>
    </row>
    <row r="41" spans="1:16" ht="12.75">
      <c r="A41" s="214" t="s">
        <v>772</v>
      </c>
      <c r="B41" s="432" t="s">
        <v>215</v>
      </c>
      <c r="C41" s="257">
        <v>0</v>
      </c>
      <c r="D41" s="257">
        <v>0</v>
      </c>
      <c r="E41" s="257">
        <v>0</v>
      </c>
      <c r="F41" s="257">
        <v>0</v>
      </c>
      <c r="G41" s="60">
        <v>13249.132813855625</v>
      </c>
      <c r="H41" s="257">
        <v>0</v>
      </c>
      <c r="I41" s="257">
        <v>0</v>
      </c>
      <c r="J41" s="257">
        <v>0</v>
      </c>
      <c r="K41" s="257">
        <v>0</v>
      </c>
      <c r="L41" s="257">
        <v>0</v>
      </c>
      <c r="M41" s="60">
        <v>8.3157969089089736</v>
      </c>
      <c r="N41" s="445"/>
      <c r="O41" s="28"/>
      <c r="P41" s="28"/>
    </row>
    <row r="42" spans="1:16" ht="12.75">
      <c r="A42" s="214" t="s">
        <v>773</v>
      </c>
      <c r="B42" s="432" t="s">
        <v>216</v>
      </c>
      <c r="C42" s="257">
        <v>0</v>
      </c>
      <c r="D42" s="257">
        <v>0</v>
      </c>
      <c r="E42" s="257">
        <v>0</v>
      </c>
      <c r="F42" s="257">
        <v>0</v>
      </c>
      <c r="G42" s="60">
        <v>13249.132813855625</v>
      </c>
      <c r="H42" s="257">
        <v>0</v>
      </c>
      <c r="I42" s="257">
        <v>0</v>
      </c>
      <c r="J42" s="257">
        <v>0</v>
      </c>
      <c r="K42" s="257">
        <v>0</v>
      </c>
      <c r="L42" s="257">
        <v>0</v>
      </c>
      <c r="M42" s="60">
        <v>8.3157969089089736</v>
      </c>
      <c r="N42" s="445"/>
      <c r="O42" s="28"/>
      <c r="P42" s="28"/>
    </row>
    <row r="43" spans="1:16" ht="12.75">
      <c r="A43" s="214" t="s">
        <v>774</v>
      </c>
      <c r="B43" s="432" t="s">
        <v>217</v>
      </c>
      <c r="C43" s="257">
        <v>0</v>
      </c>
      <c r="D43" s="257">
        <v>0</v>
      </c>
      <c r="E43" s="257">
        <v>0</v>
      </c>
      <c r="F43" s="257">
        <v>0</v>
      </c>
      <c r="G43" s="60">
        <v>13249.132813855625</v>
      </c>
      <c r="H43" s="257">
        <v>0</v>
      </c>
      <c r="I43" s="257">
        <v>0</v>
      </c>
      <c r="J43" s="257">
        <v>0</v>
      </c>
      <c r="K43" s="257">
        <v>0</v>
      </c>
      <c r="L43" s="257">
        <v>0</v>
      </c>
      <c r="M43" s="60">
        <v>8.3157969089089736</v>
      </c>
      <c r="N43" s="445"/>
      <c r="O43" s="28"/>
      <c r="P43" s="28"/>
    </row>
    <row r="44" spans="1:14" ht="12.75">
      <c r="A44" s="214" t="s">
        <v>775</v>
      </c>
      <c r="B44" s="432" t="s">
        <v>751</v>
      </c>
      <c r="C44" s="257">
        <v>0</v>
      </c>
      <c r="D44" s="257">
        <v>0</v>
      </c>
      <c r="E44" s="257">
        <v>0</v>
      </c>
      <c r="F44" s="257">
        <v>0</v>
      </c>
      <c r="G44" s="60">
        <v>13249.132813855625</v>
      </c>
      <c r="H44" s="257">
        <v>0</v>
      </c>
      <c r="I44" s="257">
        <v>0</v>
      </c>
      <c r="J44" s="257">
        <v>0</v>
      </c>
      <c r="K44" s="257">
        <v>0</v>
      </c>
      <c r="L44" s="257">
        <v>0</v>
      </c>
      <c r="M44" s="60">
        <v>8.3157969089089736</v>
      </c>
      <c r="N44" s="432"/>
    </row>
    <row r="45" spans="1:14" ht="12.75">
      <c r="A45" s="214" t="s">
        <v>776</v>
      </c>
      <c r="B45" s="435" t="s">
        <v>20</v>
      </c>
      <c r="C45" s="437">
        <f t="shared" si="2" ref="C45:M45">SUM(C33:C44)</f>
        <v>0</v>
      </c>
      <c r="D45" s="437">
        <f t="shared" si="2"/>
        <v>0</v>
      </c>
      <c r="E45" s="437">
        <f t="shared" si="2"/>
        <v>0</v>
      </c>
      <c r="F45" s="437">
        <f t="shared" si="2"/>
        <v>0</v>
      </c>
      <c r="G45" s="437">
        <f t="shared" si="2"/>
        <v>158989.5937662675</v>
      </c>
      <c r="H45" s="437">
        <f t="shared" si="2"/>
        <v>0</v>
      </c>
      <c r="I45" s="437">
        <f t="shared" si="2"/>
        <v>0</v>
      </c>
      <c r="J45" s="437">
        <f t="shared" si="2"/>
        <v>0</v>
      </c>
      <c r="K45" s="437">
        <f t="shared" si="2"/>
        <v>0</v>
      </c>
      <c r="L45" s="437">
        <f t="shared" si="2"/>
        <v>0</v>
      </c>
      <c r="M45" s="446">
        <f t="shared" si="2"/>
        <v>99.789562906907705</v>
      </c>
      <c r="N45" s="432"/>
    </row>
    <row r="46" spans="2:15" ht="12.75">
      <c r="B46" s="432"/>
      <c r="C46" s="432"/>
      <c r="D46" s="432"/>
      <c r="E46" s="432"/>
      <c r="F46" s="432"/>
      <c r="G46" s="427" t="s">
        <v>720</v>
      </c>
      <c r="H46" s="432"/>
      <c r="I46" s="432"/>
      <c r="J46" s="432"/>
      <c r="M46" s="209" t="s">
        <v>591</v>
      </c>
      <c r="N46" s="432"/>
      <c r="O46" s="439"/>
    </row>
    <row r="47" spans="2:15" ht="12.75">
      <c r="B47" s="432"/>
      <c r="C47" s="432"/>
      <c r="D47" s="432"/>
      <c r="E47" s="432"/>
      <c r="F47" s="432"/>
      <c r="G47" s="427" t="s">
        <v>721</v>
      </c>
      <c r="H47" s="432"/>
      <c r="I47" s="432"/>
      <c r="J47" s="432"/>
      <c r="N47" s="432"/>
      <c r="O47" s="439"/>
    </row>
    <row r="48" spans="2:15" ht="12.75">
      <c r="B48" s="432"/>
      <c r="C48" s="432"/>
      <c r="D48" s="432"/>
      <c r="E48" s="432"/>
      <c r="F48" s="432"/>
      <c r="G48" s="427" t="str">
        <f>+G3</f>
        <v>GridLiance High Plains LLC</v>
      </c>
      <c r="H48" s="432"/>
      <c r="I48" s="432"/>
      <c r="J48" s="432"/>
      <c r="N48" s="432"/>
      <c r="O48" s="439"/>
    </row>
    <row r="49" spans="2:15" ht="7.5" customHeight="1">
      <c r="B49" s="432"/>
      <c r="C49" s="432"/>
      <c r="D49" s="432"/>
      <c r="E49" s="432"/>
      <c r="F49" s="432"/>
      <c r="G49" s="432"/>
      <c r="H49" s="432"/>
      <c r="I49" s="432"/>
      <c r="J49" s="432"/>
      <c r="N49" s="432"/>
      <c r="O49" s="439"/>
    </row>
    <row r="50" spans="2:15" ht="7.5" customHeight="1">
      <c r="B50" s="432"/>
      <c r="C50" s="432"/>
      <c r="D50" s="432"/>
      <c r="E50" s="432"/>
      <c r="F50" s="432"/>
      <c r="G50" s="432"/>
      <c r="H50" s="432"/>
      <c r="I50" s="432"/>
      <c r="J50" s="432"/>
      <c r="N50" s="432"/>
      <c r="O50" s="439"/>
    </row>
    <row r="51" spans="2:15" ht="129" customHeight="1">
      <c r="B51" s="126"/>
      <c r="C51" s="447" t="s">
        <v>777</v>
      </c>
      <c r="D51" s="448" t="s">
        <v>529</v>
      </c>
      <c r="E51" s="448" t="s">
        <v>778</v>
      </c>
      <c r="F51" s="449" t="s">
        <v>779</v>
      </c>
      <c r="G51" s="450" t="s">
        <v>404</v>
      </c>
      <c r="H51" s="432"/>
      <c r="I51" s="432"/>
      <c r="J51" s="432"/>
      <c r="N51" s="432"/>
      <c r="O51" s="432"/>
    </row>
    <row r="52" spans="3:15" ht="12.75">
      <c r="C52" s="427" t="s">
        <v>197</v>
      </c>
      <c r="D52" s="129" t="s">
        <v>198</v>
      </c>
      <c r="E52" s="129" t="s">
        <v>199</v>
      </c>
      <c r="F52" s="130" t="s">
        <v>200</v>
      </c>
      <c r="G52" s="130" t="s">
        <v>201</v>
      </c>
      <c r="H52" s="432"/>
      <c r="I52" s="432"/>
      <c r="J52" s="432"/>
      <c r="N52" s="432"/>
      <c r="O52" s="432"/>
    </row>
    <row r="53" spans="2:10" ht="25.5">
      <c r="B53" s="128" t="s">
        <v>780</v>
      </c>
      <c r="C53" s="427">
        <v>27</v>
      </c>
      <c r="D53" s="214" t="s">
        <v>781</v>
      </c>
      <c r="E53" s="427">
        <v>31</v>
      </c>
      <c r="F53" s="427">
        <v>32</v>
      </c>
      <c r="G53" s="429" t="s">
        <v>782</v>
      </c>
      <c r="H53" s="427"/>
      <c r="I53" s="427"/>
      <c r="J53" s="432"/>
    </row>
    <row r="54" spans="2:13" ht="25.5">
      <c r="B54" s="429"/>
      <c r="C54" s="116" t="s">
        <v>783</v>
      </c>
      <c r="D54" s="4" t="s">
        <v>784</v>
      </c>
      <c r="E54" s="410" t="s">
        <v>785</v>
      </c>
      <c r="F54" s="1" t="str">
        <f>+E54</f>
        <v>Portion of Account 456.1</v>
      </c>
      <c r="H54" s="427"/>
      <c r="L54" s="427"/>
      <c r="M54" s="427"/>
    </row>
    <row r="55" spans="3:13" ht="8.25" customHeight="1">
      <c r="C55" s="427"/>
      <c r="E55" s="427"/>
      <c r="F55" s="427"/>
      <c r="G55" s="427"/>
      <c r="H55" s="427"/>
      <c r="I55" s="36"/>
      <c r="L55" s="427"/>
      <c r="M55" s="427"/>
    </row>
    <row r="56" spans="1:13" ht="12.75">
      <c r="A56" s="451">
        <f>+A42+1</f>
        <v>24</v>
      </c>
      <c r="B56" s="432" t="s">
        <v>207</v>
      </c>
      <c r="C56" s="257">
        <v>0</v>
      </c>
      <c r="D56" s="257">
        <v>0</v>
      </c>
      <c r="E56" s="257">
        <v>0</v>
      </c>
      <c r="F56" s="257">
        <v>0</v>
      </c>
      <c r="G56" s="257">
        <v>0</v>
      </c>
      <c r="H56" s="432"/>
      <c r="I56" s="36"/>
      <c r="L56" s="432"/>
      <c r="M56" s="432"/>
    </row>
    <row r="57" spans="1:13" ht="12.75">
      <c r="A57" s="451">
        <f t="shared" si="3" ref="A57:A88">+A56+1</f>
        <v>25</v>
      </c>
      <c r="B57" s="432" t="s">
        <v>208</v>
      </c>
      <c r="C57" s="257">
        <v>0</v>
      </c>
      <c r="D57" s="257">
        <v>0</v>
      </c>
      <c r="E57" s="257">
        <v>0</v>
      </c>
      <c r="F57" s="257">
        <v>0</v>
      </c>
      <c r="G57" s="257">
        <v>0</v>
      </c>
      <c r="H57" s="432"/>
      <c r="L57" s="432"/>
      <c r="M57" s="432"/>
    </row>
    <row r="58" spans="1:13" ht="12.75">
      <c r="A58" s="451">
        <f t="shared" si="3"/>
        <v>26</v>
      </c>
      <c r="B58" s="432" t="s">
        <v>748</v>
      </c>
      <c r="C58" s="257">
        <v>0</v>
      </c>
      <c r="D58" s="257">
        <v>0</v>
      </c>
      <c r="E58" s="257">
        <v>0</v>
      </c>
      <c r="F58" s="257">
        <v>0</v>
      </c>
      <c r="G58" s="257">
        <v>0</v>
      </c>
      <c r="H58" s="432"/>
      <c r="I58" s="36"/>
      <c r="L58" s="432"/>
      <c r="M58" s="432"/>
    </row>
    <row r="59" spans="1:13" ht="12.75">
      <c r="A59" s="451">
        <f t="shared" si="3"/>
        <v>27</v>
      </c>
      <c r="B59" s="432" t="s">
        <v>210</v>
      </c>
      <c r="C59" s="257">
        <v>0</v>
      </c>
      <c r="D59" s="257">
        <v>0</v>
      </c>
      <c r="E59" s="257">
        <v>0</v>
      </c>
      <c r="F59" s="257">
        <v>0</v>
      </c>
      <c r="G59" s="257">
        <v>0</v>
      </c>
      <c r="H59" s="432"/>
      <c r="I59" s="52"/>
      <c r="L59" s="432"/>
      <c r="M59" s="432"/>
    </row>
    <row r="60" spans="1:13" ht="12.75">
      <c r="A60" s="451">
        <f t="shared" si="3"/>
        <v>28</v>
      </c>
      <c r="B60" s="432" t="s">
        <v>211</v>
      </c>
      <c r="C60" s="257">
        <v>0</v>
      </c>
      <c r="D60" s="257">
        <v>0</v>
      </c>
      <c r="E60" s="257">
        <v>0</v>
      </c>
      <c r="F60" s="257">
        <v>0</v>
      </c>
      <c r="G60" s="257">
        <v>0</v>
      </c>
      <c r="H60" s="432"/>
      <c r="L60" s="432"/>
      <c r="M60" s="432"/>
    </row>
    <row r="61" spans="1:13" ht="12.75">
      <c r="A61" s="451">
        <f t="shared" si="3"/>
        <v>29</v>
      </c>
      <c r="B61" s="432" t="s">
        <v>212</v>
      </c>
      <c r="C61" s="257">
        <v>0</v>
      </c>
      <c r="D61" s="257">
        <v>0</v>
      </c>
      <c r="E61" s="257">
        <v>0</v>
      </c>
      <c r="F61" s="257">
        <v>0</v>
      </c>
      <c r="G61" s="257">
        <v>0</v>
      </c>
      <c r="H61" s="432"/>
      <c r="L61" s="432"/>
      <c r="M61" s="432"/>
    </row>
    <row r="62" spans="1:13" ht="12.75">
      <c r="A62" s="451">
        <f t="shared" si="3"/>
        <v>30</v>
      </c>
      <c r="B62" s="432" t="s">
        <v>213</v>
      </c>
      <c r="C62" s="257">
        <v>0</v>
      </c>
      <c r="D62" s="257">
        <v>0</v>
      </c>
      <c r="E62" s="257">
        <v>0</v>
      </c>
      <c r="F62" s="257">
        <v>0</v>
      </c>
      <c r="G62" s="257">
        <v>0</v>
      </c>
      <c r="H62" s="432"/>
      <c r="L62" s="432"/>
      <c r="M62" s="432"/>
    </row>
    <row r="63" spans="1:13" ht="12.75">
      <c r="A63" s="451">
        <f t="shared" si="3"/>
        <v>31</v>
      </c>
      <c r="B63" s="432" t="s">
        <v>750</v>
      </c>
      <c r="C63" s="257">
        <v>0</v>
      </c>
      <c r="D63" s="257">
        <v>0</v>
      </c>
      <c r="E63" s="257">
        <v>0</v>
      </c>
      <c r="F63" s="257">
        <v>0</v>
      </c>
      <c r="G63" s="257">
        <v>0</v>
      </c>
      <c r="H63" s="432"/>
      <c r="L63" s="432"/>
      <c r="M63" s="432"/>
    </row>
    <row r="64" spans="1:13" ht="12.75">
      <c r="A64" s="451">
        <f t="shared" si="3"/>
        <v>32</v>
      </c>
      <c r="B64" s="432" t="s">
        <v>215</v>
      </c>
      <c r="C64" s="257">
        <v>0</v>
      </c>
      <c r="D64" s="257">
        <v>0</v>
      </c>
      <c r="E64" s="257">
        <v>0</v>
      </c>
      <c r="F64" s="257">
        <v>0</v>
      </c>
      <c r="G64" s="257">
        <v>0</v>
      </c>
      <c r="H64" s="432"/>
      <c r="L64" s="432"/>
      <c r="M64" s="432"/>
    </row>
    <row r="65" spans="1:13" ht="12.75">
      <c r="A65" s="451">
        <f t="shared" si="3"/>
        <v>33</v>
      </c>
      <c r="B65" s="432" t="s">
        <v>216</v>
      </c>
      <c r="C65" s="257">
        <v>0</v>
      </c>
      <c r="D65" s="257">
        <v>0</v>
      </c>
      <c r="E65" s="257">
        <v>0</v>
      </c>
      <c r="F65" s="257">
        <v>0</v>
      </c>
      <c r="G65" s="257">
        <v>0</v>
      </c>
      <c r="H65" s="432"/>
      <c r="L65" s="432"/>
      <c r="M65" s="432"/>
    </row>
    <row r="66" spans="1:13" ht="12.75">
      <c r="A66" s="451">
        <f t="shared" si="3"/>
        <v>34</v>
      </c>
      <c r="B66" s="432" t="s">
        <v>217</v>
      </c>
      <c r="C66" s="257">
        <v>0</v>
      </c>
      <c r="D66" s="257">
        <v>0</v>
      </c>
      <c r="E66" s="257">
        <v>0</v>
      </c>
      <c r="F66" s="257">
        <v>0</v>
      </c>
      <c r="G66" s="257">
        <v>0</v>
      </c>
      <c r="H66" s="432"/>
      <c r="L66" s="432"/>
      <c r="M66" s="432"/>
    </row>
    <row r="67" spans="1:15" ht="12.75">
      <c r="A67" s="451">
        <f t="shared" si="3"/>
        <v>35</v>
      </c>
      <c r="B67" s="432" t="s">
        <v>751</v>
      </c>
      <c r="C67" s="257">
        <v>0</v>
      </c>
      <c r="D67" s="257">
        <v>0</v>
      </c>
      <c r="E67" s="257">
        <v>0</v>
      </c>
      <c r="F67" s="257">
        <v>0</v>
      </c>
      <c r="G67" s="257">
        <v>0</v>
      </c>
      <c r="H67" s="432"/>
      <c r="L67" s="432"/>
      <c r="M67" s="432"/>
      <c r="N67" s="432"/>
      <c r="O67" s="432"/>
    </row>
    <row r="68" spans="1:15" ht="12.75">
      <c r="A68" s="451">
        <f t="shared" si="3"/>
        <v>36</v>
      </c>
      <c r="B68" s="435" t="s">
        <v>20</v>
      </c>
      <c r="C68" s="437">
        <f>SUM(C56:C67)</f>
        <v>0</v>
      </c>
      <c r="D68" s="437">
        <f>SUM(D56:D67)</f>
        <v>0</v>
      </c>
      <c r="E68" s="437">
        <f>SUM(E56:E67)</f>
        <v>0</v>
      </c>
      <c r="F68" s="437">
        <f>SUM(F56:F67)</f>
        <v>0</v>
      </c>
      <c r="G68" s="437">
        <f>SUM(G56:G67)</f>
        <v>0</v>
      </c>
      <c r="H68" s="432"/>
      <c r="I68" s="432"/>
      <c r="J68" s="432"/>
      <c r="N68" s="432"/>
      <c r="O68" s="432"/>
    </row>
    <row r="69" spans="1:15" ht="12.75">
      <c r="A69" s="451">
        <f t="shared" si="3"/>
        <v>37</v>
      </c>
      <c r="B69" s="432"/>
      <c r="C69" s="432"/>
      <c r="D69" s="432"/>
      <c r="E69" s="432"/>
      <c r="F69" s="432"/>
      <c r="G69" s="432"/>
      <c r="H69" s="432"/>
      <c r="I69" s="432"/>
      <c r="J69" s="432"/>
      <c r="N69" s="432"/>
      <c r="O69" s="432"/>
    </row>
    <row r="70" spans="1:15" ht="12.75">
      <c r="A70" s="451">
        <f t="shared" si="3"/>
        <v>38</v>
      </c>
      <c r="B70" s="52" t="s">
        <v>168</v>
      </c>
      <c r="C70" s="38"/>
      <c r="F70" s="38"/>
      <c r="G70" s="38"/>
      <c r="H70" s="38"/>
      <c r="I70" s="38"/>
      <c r="J70" s="38"/>
      <c r="K70" s="66"/>
      <c r="L70" s="38"/>
      <c r="N70" s="432"/>
      <c r="O70" s="432"/>
    </row>
    <row r="71" spans="1:15" ht="12.75">
      <c r="A71" s="451"/>
      <c r="B71" s="52" t="s">
        <v>786</v>
      </c>
      <c r="C71" s="38"/>
      <c r="F71" s="38"/>
      <c r="G71" s="38"/>
      <c r="H71" s="38"/>
      <c r="I71" s="38"/>
      <c r="J71" s="38"/>
      <c r="K71" s="66"/>
      <c r="L71" s="38"/>
      <c r="N71" s="432"/>
      <c r="O71" s="432"/>
    </row>
    <row r="72" spans="1:15" ht="16.5" thickBot="1">
      <c r="A72" s="451"/>
      <c r="B72" s="52"/>
      <c r="C72" s="38"/>
      <c r="D72" s="452"/>
      <c r="E72" s="452"/>
      <c r="F72" s="452"/>
      <c r="G72" s="452"/>
      <c r="H72" s="452"/>
      <c r="I72" s="452"/>
      <c r="J72" s="453" t="s">
        <v>148</v>
      </c>
      <c r="K72" s="66"/>
      <c r="L72" s="38"/>
      <c r="N72" s="454"/>
      <c r="O72" s="454"/>
    </row>
    <row r="73" spans="1:15" ht="15.75">
      <c r="A73" s="451">
        <f>+A70+1</f>
        <v>39</v>
      </c>
      <c r="B73" s="52"/>
      <c r="C73" s="38"/>
      <c r="D73" s="452" t="s">
        <v>787</v>
      </c>
      <c r="E73" s="452"/>
      <c r="F73" s="452"/>
      <c r="G73" s="452"/>
      <c r="H73" s="452"/>
      <c r="I73" s="452"/>
      <c r="J73" s="455">
        <v>1336069.3241666669</v>
      </c>
      <c r="N73" s="432"/>
      <c r="O73" s="432"/>
    </row>
    <row r="74" spans="1:15" ht="15.75">
      <c r="A74" s="451"/>
      <c r="B74" s="52"/>
      <c r="C74" s="38"/>
      <c r="D74" s="452"/>
      <c r="E74" s="452"/>
      <c r="F74" s="452"/>
      <c r="G74" s="452"/>
      <c r="H74" s="452"/>
      <c r="I74" s="452"/>
      <c r="J74" s="373"/>
      <c r="N74" s="432"/>
      <c r="O74" s="432"/>
    </row>
    <row r="75" spans="1:15" ht="15.75">
      <c r="A75" s="451">
        <f>+A73+1</f>
        <v>40</v>
      </c>
      <c r="B75" s="52"/>
      <c r="C75" s="38"/>
      <c r="D75" s="452" t="s">
        <v>788</v>
      </c>
      <c r="E75" s="452"/>
      <c r="F75" s="452"/>
      <c r="G75" s="452"/>
      <c r="H75" s="452"/>
      <c r="I75" s="452"/>
      <c r="J75" s="455">
        <v>0</v>
      </c>
      <c r="N75" s="432"/>
      <c r="O75" s="432"/>
    </row>
    <row r="76" spans="1:10" ht="15.75">
      <c r="A76" s="451"/>
      <c r="B76" s="52"/>
      <c r="C76" s="38"/>
      <c r="D76" s="452"/>
      <c r="E76" s="452"/>
      <c r="F76" s="452"/>
      <c r="G76" s="452"/>
      <c r="H76" s="452"/>
      <c r="I76" s="452"/>
      <c r="J76" s="373"/>
    </row>
    <row r="77" spans="1:10" ht="15.75">
      <c r="A77" s="451">
        <f>+A75+1</f>
        <v>41</v>
      </c>
      <c r="B77" s="52"/>
      <c r="C77" s="38"/>
      <c r="D77" s="452" t="s">
        <v>789</v>
      </c>
      <c r="E77" s="456"/>
      <c r="F77" s="452"/>
      <c r="G77" s="452"/>
      <c r="H77" s="452"/>
      <c r="I77" s="452"/>
      <c r="J77" s="455">
        <f>F87</f>
        <v>81808385.220143661</v>
      </c>
    </row>
    <row r="78" spans="1:10" ht="15.75">
      <c r="A78" s="451">
        <f t="shared" si="3"/>
        <v>42</v>
      </c>
      <c r="B78" s="52"/>
      <c r="C78" s="38"/>
      <c r="D78" s="452" t="s">
        <v>790</v>
      </c>
      <c r="E78" s="452"/>
      <c r="F78" s="452"/>
      <c r="G78" s="452"/>
      <c r="H78" s="452"/>
      <c r="I78" s="452"/>
      <c r="J78" s="457">
        <v>0</v>
      </c>
    </row>
    <row r="79" spans="1:10" ht="16.5" thickBot="1">
      <c r="A79" s="451">
        <f t="shared" si="3"/>
        <v>43</v>
      </c>
      <c r="B79" s="52"/>
      <c r="C79" s="38"/>
      <c r="D79" s="452" t="s">
        <v>791</v>
      </c>
      <c r="E79" s="452"/>
      <c r="F79" s="452"/>
      <c r="G79" s="452"/>
      <c r="H79" s="452"/>
      <c r="I79" s="452"/>
      <c r="J79" s="458">
        <v>0</v>
      </c>
    </row>
    <row r="80" spans="1:10" ht="15.75">
      <c r="A80" s="451">
        <f t="shared" si="3"/>
        <v>44</v>
      </c>
      <c r="B80" s="52"/>
      <c r="C80" s="38"/>
      <c r="D80" s="452" t="s">
        <v>792</v>
      </c>
      <c r="E80" s="456" t="s">
        <v>793</v>
      </c>
      <c r="F80" s="456"/>
      <c r="G80" s="456"/>
      <c r="H80" s="459"/>
      <c r="I80" s="456"/>
      <c r="J80" s="373">
        <f>+J77-J78-J79</f>
        <v>81808385.220143661</v>
      </c>
    </row>
    <row r="81" spans="1:10" ht="6.75" customHeight="1">
      <c r="A81" s="451"/>
      <c r="B81" s="52"/>
      <c r="C81" s="38"/>
      <c r="J81" s="5"/>
    </row>
    <row r="82" spans="1:12" ht="6.75" customHeight="1">
      <c r="A82" s="451"/>
      <c r="B82" s="52"/>
      <c r="C82" s="38"/>
      <c r="F82" s="38"/>
      <c r="G82" s="38"/>
      <c r="H82" s="38"/>
      <c r="I82" s="38"/>
      <c r="J82" s="38"/>
      <c r="K82" s="66"/>
      <c r="L82" s="38"/>
    </row>
    <row r="83" spans="1:12" ht="12.75">
      <c r="A83" s="451"/>
      <c r="B83" s="40"/>
      <c r="C83" s="38"/>
      <c r="F83" s="38"/>
      <c r="G83" s="38"/>
      <c r="H83" s="38"/>
      <c r="I83" s="66" t="s">
        <v>170</v>
      </c>
      <c r="J83" s="38"/>
      <c r="K83" s="38"/>
      <c r="L83" s="38"/>
    </row>
    <row r="84" spans="1:12" ht="13.5" thickBot="1">
      <c r="A84" s="451"/>
      <c r="B84" s="40"/>
      <c r="C84" s="38"/>
      <c r="F84" s="46" t="s">
        <v>148</v>
      </c>
      <c r="G84" s="46" t="s">
        <v>169</v>
      </c>
      <c r="H84" s="38"/>
      <c r="I84" s="97"/>
      <c r="J84" s="38"/>
      <c r="K84" s="46" t="s">
        <v>171</v>
      </c>
      <c r="L84" s="38"/>
    </row>
    <row r="85" spans="1:12" ht="12.75">
      <c r="A85" s="451">
        <f>+A80+1</f>
        <v>45</v>
      </c>
      <c r="B85" s="52" t="s">
        <v>172</v>
      </c>
      <c r="C85" s="36" t="s">
        <v>794</v>
      </c>
      <c r="F85" s="114">
        <f>'Attachment H'!D208</f>
        <v>54414846.153846152</v>
      </c>
      <c r="G85" s="297">
        <f>'Attachment H'!E208</f>
        <v>0.40000000000000002</v>
      </c>
      <c r="H85" s="25"/>
      <c r="I85" s="200">
        <f>IFERROR(J73/'Attachment H'!D208,0)</f>
        <v>0.024553397070887995</v>
      </c>
      <c r="J85" s="25"/>
      <c r="K85" s="25">
        <f>G85*I85</f>
        <v>0.0098213588283551992</v>
      </c>
      <c r="L85" s="112" t="s">
        <v>173</v>
      </c>
    </row>
    <row r="86" spans="1:12" ht="12.75">
      <c r="A86" s="451">
        <f t="shared" si="3"/>
        <v>46</v>
      </c>
      <c r="B86" s="52" t="s">
        <v>174</v>
      </c>
      <c r="C86" s="36" t="s">
        <v>300</v>
      </c>
      <c r="F86" s="114">
        <f>'Attachment H'!D209</f>
        <v>0</v>
      </c>
      <c r="G86" s="297">
        <f>'Attachment H'!E209</f>
        <v>0</v>
      </c>
      <c r="H86" s="25"/>
      <c r="I86" s="25">
        <v>0</v>
      </c>
      <c r="J86" s="25"/>
      <c r="K86" s="25">
        <f>G86*I86</f>
        <v>0</v>
      </c>
      <c r="L86" s="38"/>
    </row>
    <row r="87" spans="1:12" ht="13.5" thickBot="1">
      <c r="A87" s="451">
        <f t="shared" si="3"/>
        <v>47</v>
      </c>
      <c r="B87" s="52" t="s">
        <v>175</v>
      </c>
      <c r="C87" s="36" t="s">
        <v>795</v>
      </c>
      <c r="F87" s="460">
        <f>'Attachment H'!D210</f>
        <v>81808385.220143661</v>
      </c>
      <c r="G87" s="297">
        <f>'Attachment H'!E210</f>
        <v>0.59999999999999998</v>
      </c>
      <c r="H87" s="288" t="s">
        <v>371</v>
      </c>
      <c r="I87" s="111">
        <f>+'Attachment H'!G210</f>
        <v>0.098000000000000004</v>
      </c>
      <c r="J87" s="36"/>
      <c r="K87" s="32">
        <f>G87*I87</f>
        <v>0.058799999999999998</v>
      </c>
      <c r="L87" s="38"/>
    </row>
    <row r="88" spans="1:12" ht="12.75">
      <c r="A88" s="451">
        <f t="shared" si="3"/>
        <v>48</v>
      </c>
      <c r="B88" s="40" t="s">
        <v>176</v>
      </c>
      <c r="C88" s="36" t="s">
        <v>796</v>
      </c>
      <c r="F88" s="114">
        <f>SUM(F85:F87)</f>
        <v>136223231.37398982</v>
      </c>
      <c r="G88" s="25" t="s">
        <v>30</v>
      </c>
      <c r="H88" s="38"/>
      <c r="I88" s="38"/>
      <c r="J88" s="38"/>
      <c r="K88" s="25">
        <f>SUM(K85:K87)</f>
        <v>0.068621358828355197</v>
      </c>
      <c r="L88" s="112" t="s">
        <v>178</v>
      </c>
    </row>
    <row r="89" spans="1:7" ht="6" customHeight="1">
      <c r="A89" s="451"/>
      <c r="G89" s="25"/>
    </row>
    <row r="90" spans="1:1" ht="12.75">
      <c r="A90" s="1" t="s">
        <v>797</v>
      </c>
    </row>
    <row r="91" spans="1:2" ht="12.75">
      <c r="A91" s="214" t="s">
        <v>236</v>
      </c>
      <c r="B91" s="1" t="s">
        <v>798</v>
      </c>
    </row>
    <row r="92" spans="1:2" ht="12.75">
      <c r="A92" s="214" t="s">
        <v>238</v>
      </c>
      <c r="B92" s="1" t="s">
        <v>799</v>
      </c>
    </row>
    <row r="93" spans="1:2" ht="12.75">
      <c r="A93" s="214" t="s">
        <v>251</v>
      </c>
      <c r="B93" s="1" t="s">
        <v>800</v>
      </c>
    </row>
    <row r="94" spans="1:2" ht="12.75">
      <c r="A94" s="4" t="s">
        <v>252</v>
      </c>
      <c r="B94" s="1" t="s">
        <v>801</v>
      </c>
    </row>
    <row r="95" spans="1:1" ht="12.75">
      <c r="A95" s="214"/>
    </row>
    <row r="96" spans="1:1" ht="12.75">
      <c r="A96" s="214"/>
    </row>
  </sheetData>
  <pageMargins left="0.25" right="0.25" top="0.75" bottom="0.75" header="0.3" footer="0.3"/>
  <pageSetup fitToHeight="2" orientation="landscape" scale="62" r:id="rId1"/>
  <rowBreaks count="1" manualBreakCount="1">
    <brk id="45" max="1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D5DC-521D-4910-9A35-B9B001725F10}">
  <sheetPr>
    <pageSetUpPr fitToPage="1"/>
  </sheetPr>
  <dimension ref="A1:J36"/>
  <sheetViews>
    <sheetView view="pageBreakPreview" zoomScale="60" zoomScaleNormal="100" workbookViewId="0" topLeftCell="A1">
      <selection pane="topLeft" activeCell="D28" sqref="D28"/>
    </sheetView>
  </sheetViews>
  <sheetFormatPr defaultRowHeight="15"/>
  <cols>
    <col min="1" max="1" width="7.33333333333333" style="2" customWidth="1"/>
    <col min="2" max="2" width="40.4444444444444" style="2" customWidth="1"/>
    <col min="3" max="3" width="13.6666666666667" style="2" customWidth="1"/>
    <col min="4" max="4" width="12.6666666666667" style="2" customWidth="1"/>
    <col min="5" max="5" width="21" style="2" customWidth="1"/>
    <col min="6" max="6" width="15.5555555555556" style="2" customWidth="1"/>
    <col min="7" max="7" width="15.3333333333333" style="2" customWidth="1"/>
    <col min="8" max="8" width="15.4444444444444" style="2" customWidth="1"/>
    <col min="9" max="9" width="22" style="2" customWidth="1"/>
    <col min="10" max="10" width="51" style="2" bestFit="1" customWidth="1"/>
    <col min="11" max="16384" width="9.11111111111111" style="2"/>
  </cols>
  <sheetData>
    <row r="1" spans="1:10" ht="15">
      <c r="A1" s="1050" t="s">
        <v>802</v>
      </c>
      <c r="B1" s="1050"/>
      <c r="C1" s="1050"/>
      <c r="D1" s="1050"/>
      <c r="E1" s="1050"/>
      <c r="F1" s="1050"/>
      <c r="G1" s="1050"/>
      <c r="H1" s="1050"/>
      <c r="I1" s="1050"/>
      <c r="J1" s="1050"/>
    </row>
    <row r="2" spans="1:10" ht="15">
      <c r="A2" s="1051" t="s">
        <v>243</v>
      </c>
      <c r="B2" s="1050"/>
      <c r="C2" s="1050"/>
      <c r="D2" s="1050"/>
      <c r="E2" s="1050"/>
      <c r="F2" s="1050"/>
      <c r="G2" s="1050"/>
      <c r="H2" s="1050"/>
      <c r="I2" s="1050"/>
      <c r="J2" s="1050"/>
    </row>
    <row r="3" spans="1:10" ht="15">
      <c r="A3" s="1050" t="s">
        <v>803</v>
      </c>
      <c r="B3" s="1050"/>
      <c r="C3" s="1050"/>
      <c r="D3" s="1050"/>
      <c r="E3" s="1050"/>
      <c r="F3" s="1050"/>
      <c r="G3" s="1050"/>
      <c r="H3" s="1052"/>
      <c r="I3" s="1052"/>
      <c r="J3" s="1050"/>
    </row>
    <row r="4" spans="1:10" ht="15">
      <c r="A4" s="461"/>
      <c r="B4" s="461"/>
      <c r="C4" s="461"/>
      <c r="D4" s="461"/>
      <c r="E4" s="461"/>
      <c r="F4" s="461"/>
      <c r="G4" s="461"/>
      <c r="H4" s="461"/>
      <c r="I4" s="461"/>
      <c r="J4" s="461"/>
    </row>
    <row r="5" spans="1:10" ht="15">
      <c r="A5" s="462"/>
      <c r="B5" s="461" t="s">
        <v>197</v>
      </c>
      <c r="C5" s="461" t="s">
        <v>198</v>
      </c>
      <c r="D5" s="461" t="s">
        <v>199</v>
      </c>
      <c r="E5" s="461" t="s">
        <v>200</v>
      </c>
      <c r="F5" s="461" t="s">
        <v>201</v>
      </c>
      <c r="G5" s="461" t="s">
        <v>221</v>
      </c>
      <c r="H5" s="461" t="s">
        <v>222</v>
      </c>
      <c r="I5" s="463" t="s">
        <v>223</v>
      </c>
      <c r="J5" s="461"/>
    </row>
    <row r="6" spans="1:10" ht="25.5">
      <c r="A6" s="464" t="s">
        <v>804</v>
      </c>
      <c r="B6" s="465" t="s">
        <v>805</v>
      </c>
      <c r="C6" s="465" t="s">
        <v>194</v>
      </c>
      <c r="D6" s="465" t="s">
        <v>806</v>
      </c>
      <c r="E6" s="465" t="s">
        <v>807</v>
      </c>
      <c r="F6" s="465" t="s">
        <v>808</v>
      </c>
      <c r="G6" s="465" t="s">
        <v>809</v>
      </c>
      <c r="H6" s="465" t="s">
        <v>810</v>
      </c>
      <c r="I6" s="465" t="s">
        <v>811</v>
      </c>
      <c r="J6" s="465"/>
    </row>
    <row r="7" spans="1:10" ht="15">
      <c r="A7" s="462" t="s">
        <v>812</v>
      </c>
      <c r="B7" s="466"/>
      <c r="C7" s="462"/>
      <c r="D7" s="461"/>
      <c r="E7" s="461"/>
      <c r="F7" s="461"/>
      <c r="G7" s="462"/>
      <c r="H7" s="462"/>
      <c r="I7" s="462"/>
      <c r="J7" s="462"/>
    </row>
    <row r="8" spans="1:10" ht="15">
      <c r="A8" s="467">
        <v>1</v>
      </c>
      <c r="B8" s="466" t="s">
        <v>813</v>
      </c>
      <c r="C8" s="462" t="s">
        <v>751</v>
      </c>
      <c r="D8" s="478">
        <v>2020</v>
      </c>
      <c r="E8" s="113">
        <f>SUM(F8:H8)</f>
        <v>-482274.37090259668</v>
      </c>
      <c r="F8" s="113">
        <f>'4c - ADIT BOY'!E55</f>
        <v>-482274.37090259668</v>
      </c>
      <c r="G8" s="113">
        <f>'4c - ADIT BOY'!F55</f>
        <v>0</v>
      </c>
      <c r="H8" s="113">
        <f>'4c - ADIT BOY'!G55</f>
        <v>0</v>
      </c>
      <c r="I8" s="5"/>
      <c r="J8" s="469"/>
    </row>
    <row r="9" spans="1:10" ht="15">
      <c r="A9" s="467">
        <f>A8+1</f>
        <v>2</v>
      </c>
      <c r="B9" s="466" t="s">
        <v>815</v>
      </c>
      <c r="C9" s="462" t="s">
        <v>751</v>
      </c>
      <c r="D9" s="478">
        <v>2021</v>
      </c>
      <c r="E9" s="113">
        <f t="shared" si="0" ref="E9:E10">SUM(F9:H9)</f>
        <v>0</v>
      </c>
      <c r="F9" s="113">
        <f>'4d - ADIT EOY'!E55-'4d - ADIT EOY'!E52</f>
        <v>0</v>
      </c>
      <c r="G9" s="113">
        <f>'4d - ADIT EOY'!F55-'4d - ADIT EOY'!F52</f>
        <v>0</v>
      </c>
      <c r="H9" s="113">
        <f>'4d - ADIT EOY'!G55-'4d - ADIT EOY'!G52</f>
        <v>0</v>
      </c>
      <c r="I9" s="5"/>
      <c r="J9" s="469"/>
    </row>
    <row r="10" spans="1:10" ht="15">
      <c r="A10" s="467">
        <f>A9+1</f>
        <v>3</v>
      </c>
      <c r="B10" s="466" t="s">
        <v>816</v>
      </c>
      <c r="C10" s="462" t="s">
        <v>751</v>
      </c>
      <c r="D10" s="478">
        <v>2021</v>
      </c>
      <c r="E10" s="113">
        <f t="shared" si="0"/>
        <v>-511867.60651903506</v>
      </c>
      <c r="F10" s="113">
        <f>'4b - ADIT Projection Proration'!H22</f>
        <v>-511867.60651903506</v>
      </c>
      <c r="G10" s="50">
        <f>'4b - ADIT Projection Proration'!J22</f>
        <v>0</v>
      </c>
      <c r="H10" s="50">
        <f>'4b - ADIT Projection Proration'!L22</f>
        <v>0</v>
      </c>
      <c r="I10" s="5"/>
      <c r="J10" s="469"/>
    </row>
    <row r="11" spans="1:10" ht="15">
      <c r="A11" s="467">
        <f>+A10+1</f>
        <v>4</v>
      </c>
      <c r="B11" s="466" t="s">
        <v>817</v>
      </c>
      <c r="C11" s="462" t="s">
        <v>751</v>
      </c>
      <c r="D11" s="478">
        <v>2021</v>
      </c>
      <c r="E11" s="1023">
        <f>E9+E10</f>
        <v>-511867.60651903506</v>
      </c>
      <c r="F11" s="1023">
        <f t="shared" si="1" ref="F11:H11">F9+F10</f>
        <v>-511867.60651903506</v>
      </c>
      <c r="G11" s="1023">
        <f t="shared" si="1"/>
        <v>0</v>
      </c>
      <c r="H11" s="1023">
        <f t="shared" si="1"/>
        <v>0</v>
      </c>
      <c r="I11" s="469"/>
      <c r="J11" s="469"/>
    </row>
    <row r="12" spans="1:10" ht="15">
      <c r="A12" s="467">
        <f t="shared" si="2" ref="A12:A15">+A11+1</f>
        <v>5</v>
      </c>
      <c r="B12" s="466" t="s">
        <v>818</v>
      </c>
      <c r="C12" s="462"/>
      <c r="D12" s="462"/>
      <c r="E12" s="1023"/>
      <c r="F12" s="1023">
        <v>1</v>
      </c>
      <c r="G12" s="1023"/>
      <c r="H12" s="1023"/>
      <c r="I12" s="469"/>
      <c r="J12" s="470">
        <v>1</v>
      </c>
    </row>
    <row r="13" spans="1:10" ht="15">
      <c r="A13" s="467">
        <f t="shared" si="2"/>
        <v>6</v>
      </c>
      <c r="B13" s="466" t="s">
        <v>819</v>
      </c>
      <c r="C13" s="462"/>
      <c r="D13" s="462"/>
      <c r="E13" s="1023"/>
      <c r="F13" s="1023"/>
      <c r="G13" s="1023">
        <f>+'Attachment H'!$G$84</f>
        <v>0</v>
      </c>
      <c r="H13" s="1023"/>
      <c r="I13" s="469"/>
      <c r="J13" s="462" t="s">
        <v>820</v>
      </c>
    </row>
    <row r="14" spans="1:10" ht="15">
      <c r="A14" s="467">
        <f t="shared" si="2"/>
        <v>7</v>
      </c>
      <c r="B14" s="466" t="s">
        <v>821</v>
      </c>
      <c r="C14" s="462"/>
      <c r="D14" s="462"/>
      <c r="E14" s="1023"/>
      <c r="F14" s="1023"/>
      <c r="G14" s="1023"/>
      <c r="H14" s="1023">
        <f>+'Attachment H'!$I$197</f>
        <v>0</v>
      </c>
      <c r="I14" s="469"/>
      <c r="J14" s="462" t="s">
        <v>822</v>
      </c>
    </row>
    <row r="15" spans="1:10" ht="15">
      <c r="A15" s="467">
        <f t="shared" si="2"/>
        <v>8</v>
      </c>
      <c r="B15" s="466" t="s">
        <v>823</v>
      </c>
      <c r="C15" s="462"/>
      <c r="D15" s="462"/>
      <c r="E15" s="1023">
        <f>+E11</f>
        <v>-511867.60651903506</v>
      </c>
      <c r="F15" s="1023">
        <f>+F11*F12</f>
        <v>-511867.60651903506</v>
      </c>
      <c r="G15" s="1023">
        <f>+G11*G13</f>
        <v>0</v>
      </c>
      <c r="H15" s="1023">
        <f>+H11*H14</f>
        <v>0</v>
      </c>
      <c r="I15" s="469">
        <f>+F15+G15+H15</f>
        <v>-511867.60651903506</v>
      </c>
      <c r="J15" s="469" t="s">
        <v>824</v>
      </c>
    </row>
    <row r="16" spans="1:10" ht="15">
      <c r="A16" s="467"/>
      <c r="B16" s="466"/>
      <c r="C16" s="462"/>
      <c r="D16" s="462"/>
      <c r="E16" s="1024"/>
      <c r="F16" s="1024"/>
      <c r="G16" s="1024"/>
      <c r="H16" s="1024"/>
      <c r="I16" s="462"/>
      <c r="J16" s="462"/>
    </row>
    <row r="17" spans="1:10" ht="15">
      <c r="A17" s="462" t="s">
        <v>825</v>
      </c>
      <c r="B17" s="466"/>
      <c r="C17" s="462"/>
      <c r="D17" s="462"/>
      <c r="E17" s="1024"/>
      <c r="F17" s="1024"/>
      <c r="G17" s="1024"/>
      <c r="H17" s="1024"/>
      <c r="I17" s="462"/>
      <c r="J17" s="462"/>
    </row>
    <row r="18" spans="1:10" ht="15">
      <c r="A18" s="467">
        <f>A15+1</f>
        <v>9</v>
      </c>
      <c r="B18" s="466" t="s">
        <v>826</v>
      </c>
      <c r="C18" s="462" t="s">
        <v>751</v>
      </c>
      <c r="D18" s="478">
        <v>2020</v>
      </c>
      <c r="E18" s="113">
        <f t="shared" si="3" ref="E18:E20">SUM(F18:H18)</f>
        <v>-2521</v>
      </c>
      <c r="F18" s="50">
        <f>'4c - ADIT BOY'!E79</f>
        <v>-2521</v>
      </c>
      <c r="G18" s="50">
        <f>'4c - ADIT BOY'!F79</f>
        <v>0</v>
      </c>
      <c r="H18" s="50">
        <f>'4c - ADIT BOY'!G79</f>
        <v>0</v>
      </c>
      <c r="I18" s="5"/>
      <c r="J18" s="469"/>
    </row>
    <row r="19" spans="1:10" ht="15">
      <c r="A19" s="467">
        <f>A18+1</f>
        <v>10</v>
      </c>
      <c r="B19" s="466" t="s">
        <v>827</v>
      </c>
      <c r="C19" s="462" t="s">
        <v>751</v>
      </c>
      <c r="D19" s="478">
        <v>2021</v>
      </c>
      <c r="E19" s="113">
        <f t="shared" si="3"/>
        <v>0</v>
      </c>
      <c r="F19" s="50">
        <f>'4d - ADIT EOY'!E79-'4d - ADIT EOY'!E76</f>
        <v>0</v>
      </c>
      <c r="G19" s="50">
        <f>'4d - ADIT EOY'!F79-'4d - ADIT EOY'!F76</f>
        <v>0</v>
      </c>
      <c r="H19" s="50">
        <f>'4d - ADIT EOY'!G79-'4d - ADIT EOY'!G76</f>
        <v>0</v>
      </c>
      <c r="I19" s="5"/>
      <c r="J19" s="469"/>
    </row>
    <row r="20" spans="1:10" ht="15">
      <c r="A20" s="467">
        <f>A19+1</f>
        <v>11</v>
      </c>
      <c r="B20" s="466" t="s">
        <v>828</v>
      </c>
      <c r="C20" s="462" t="s">
        <v>751</v>
      </c>
      <c r="D20" s="478">
        <v>2021</v>
      </c>
      <c r="E20" s="113">
        <f t="shared" si="3"/>
        <v>-1952.7178082191781</v>
      </c>
      <c r="F20" s="50">
        <f>'4b - ADIT Projection Proration'!H38</f>
        <v>-1952.7178082191781</v>
      </c>
      <c r="G20" s="50">
        <f>'4b - ADIT Projection Proration'!J38</f>
        <v>0</v>
      </c>
      <c r="H20" s="50">
        <f>'4b - ADIT Projection Proration'!L38</f>
        <v>0</v>
      </c>
      <c r="I20" s="5"/>
      <c r="J20" s="469"/>
    </row>
    <row r="21" spans="1:10" ht="15">
      <c r="A21" s="467">
        <f>A20+1</f>
        <v>12</v>
      </c>
      <c r="B21" s="466" t="s">
        <v>829</v>
      </c>
      <c r="C21" s="462" t="s">
        <v>751</v>
      </c>
      <c r="D21" s="478">
        <v>2021</v>
      </c>
      <c r="E21" s="50">
        <f>E19+E20</f>
        <v>-1952.7178082191781</v>
      </c>
      <c r="F21" s="50">
        <f>F19+F20</f>
        <v>-1952.7178082191781</v>
      </c>
      <c r="G21" s="50">
        <f>G19+G20</f>
        <v>0</v>
      </c>
      <c r="H21" s="50">
        <f>H19+H20</f>
        <v>0</v>
      </c>
      <c r="I21" s="5"/>
      <c r="J21" s="469"/>
    </row>
    <row r="22" spans="1:10" ht="15">
      <c r="A22" s="467">
        <f t="shared" si="4" ref="A22:A25">A21+1</f>
        <v>13</v>
      </c>
      <c r="B22" s="466" t="s">
        <v>818</v>
      </c>
      <c r="C22" s="462"/>
      <c r="D22" s="462"/>
      <c r="E22" s="1023"/>
      <c r="F22" s="1023">
        <v>1</v>
      </c>
      <c r="G22" s="1023"/>
      <c r="H22" s="1023"/>
      <c r="I22" s="469"/>
      <c r="J22" s="470">
        <v>1</v>
      </c>
    </row>
    <row r="23" spans="1:10" ht="15">
      <c r="A23" s="467">
        <f t="shared" si="4"/>
        <v>14</v>
      </c>
      <c r="B23" s="466" t="s">
        <v>819</v>
      </c>
      <c r="C23" s="462"/>
      <c r="D23" s="462"/>
      <c r="E23" s="1023"/>
      <c r="F23" s="1023"/>
      <c r="G23" s="1023">
        <f>+'Attachment H'!$G$84</f>
        <v>0</v>
      </c>
      <c r="H23" s="1023"/>
      <c r="I23" s="469"/>
      <c r="J23" s="462" t="s">
        <v>820</v>
      </c>
    </row>
    <row r="24" spans="1:10" ht="15">
      <c r="A24" s="467">
        <f t="shared" si="4"/>
        <v>15</v>
      </c>
      <c r="B24" s="466" t="s">
        <v>821</v>
      </c>
      <c r="C24" s="462"/>
      <c r="D24" s="462"/>
      <c r="E24" s="1023"/>
      <c r="F24" s="1023"/>
      <c r="G24" s="1023"/>
      <c r="H24" s="1023">
        <f>+'Attachment H'!$I$197</f>
        <v>0</v>
      </c>
      <c r="I24" s="469"/>
      <c r="J24" s="462" t="s">
        <v>822</v>
      </c>
    </row>
    <row r="25" spans="1:10" ht="15">
      <c r="A25" s="467">
        <f t="shared" si="4"/>
        <v>16</v>
      </c>
      <c r="B25" s="466" t="s">
        <v>823</v>
      </c>
      <c r="C25" s="462"/>
      <c r="D25" s="462"/>
      <c r="E25" s="1023">
        <f>+E21</f>
        <v>-1952.7178082191781</v>
      </c>
      <c r="F25" s="1023">
        <f>+F21*F22</f>
        <v>-1952.7178082191781</v>
      </c>
      <c r="G25" s="1023">
        <f>+G21*G23</f>
        <v>0</v>
      </c>
      <c r="H25" s="1023">
        <f>+H21*H24</f>
        <v>0</v>
      </c>
      <c r="I25" s="469">
        <f>+F25+G25+H25</f>
        <v>-1952.7178082191781</v>
      </c>
      <c r="J25" s="469" t="s">
        <v>824</v>
      </c>
    </row>
    <row r="26" spans="1:10" ht="15">
      <c r="A26" s="467"/>
      <c r="B26" s="466"/>
      <c r="C26" s="462"/>
      <c r="D26" s="462"/>
      <c r="E26" s="1024"/>
      <c r="F26" s="1024"/>
      <c r="G26" s="1024"/>
      <c r="H26" s="1024"/>
      <c r="I26" s="462"/>
      <c r="J26" s="462"/>
    </row>
    <row r="27" spans="1:10" ht="15">
      <c r="A27" s="462" t="s">
        <v>830</v>
      </c>
      <c r="B27" s="466"/>
      <c r="C27" s="462"/>
      <c r="D27" s="462"/>
      <c r="E27" s="1024"/>
      <c r="F27" s="1024"/>
      <c r="G27" s="1024"/>
      <c r="H27" s="1024"/>
      <c r="I27" s="462"/>
      <c r="J27" s="462"/>
    </row>
    <row r="28" spans="1:10" ht="15">
      <c r="A28" s="467">
        <f>A25+1</f>
        <v>17</v>
      </c>
      <c r="B28" s="466" t="s">
        <v>831</v>
      </c>
      <c r="C28" s="462" t="s">
        <v>751</v>
      </c>
      <c r="D28" s="478">
        <v>2020</v>
      </c>
      <c r="E28" s="113">
        <f t="shared" si="5" ref="E28:E30">SUM(F28:H28)</f>
        <v>97734</v>
      </c>
      <c r="F28" s="50">
        <f>'4c - ADIT BOY'!E33</f>
        <v>97734</v>
      </c>
      <c r="G28" s="50">
        <f>'4c - ADIT BOY'!F33</f>
        <v>0</v>
      </c>
      <c r="H28" s="50">
        <f>'4c - ADIT BOY'!G33</f>
        <v>0</v>
      </c>
      <c r="I28" s="5"/>
      <c r="J28" s="469"/>
    </row>
    <row r="29" spans="1:10" ht="15">
      <c r="A29" s="467">
        <f>A28+1</f>
        <v>18</v>
      </c>
      <c r="B29" s="466" t="s">
        <v>832</v>
      </c>
      <c r="C29" s="462" t="s">
        <v>751</v>
      </c>
      <c r="D29" s="478">
        <v>2021</v>
      </c>
      <c r="E29" s="113">
        <f t="shared" si="5"/>
        <v>0</v>
      </c>
      <c r="F29" s="50">
        <f>'4d - ADIT EOY'!E33-'4d - ADIT EOY'!E30</f>
        <v>0</v>
      </c>
      <c r="G29" s="50">
        <f>'4d - ADIT EOY'!F33-'4d - ADIT EOY'!F30</f>
        <v>0</v>
      </c>
      <c r="H29" s="50">
        <f>'4d - ADIT EOY'!G33-'4d - ADIT EOY'!G30</f>
        <v>0</v>
      </c>
      <c r="I29" s="5"/>
      <c r="J29" s="469"/>
    </row>
    <row r="30" spans="1:10" ht="15">
      <c r="A30" s="467">
        <f>A29+1</f>
        <v>19</v>
      </c>
      <c r="B30" s="466" t="s">
        <v>833</v>
      </c>
      <c r="C30" s="462" t="s">
        <v>751</v>
      </c>
      <c r="D30" s="478">
        <v>2021</v>
      </c>
      <c r="E30" s="113">
        <f t="shared" si="5"/>
        <v>97734</v>
      </c>
      <c r="F30" s="50">
        <f>'4b - ADIT Projection Proration'!H54</f>
        <v>97734</v>
      </c>
      <c r="G30" s="50">
        <f>'4b - ADIT Projection Proration'!J54</f>
        <v>0</v>
      </c>
      <c r="H30" s="50">
        <f>'4b - ADIT Projection Proration'!L54</f>
        <v>0</v>
      </c>
      <c r="I30" s="5"/>
      <c r="J30" s="469"/>
    </row>
    <row r="31" spans="1:10" ht="15">
      <c r="A31" s="467">
        <f>A30+1</f>
        <v>20</v>
      </c>
      <c r="B31" s="466" t="s">
        <v>834</v>
      </c>
      <c r="C31" s="462" t="s">
        <v>751</v>
      </c>
      <c r="D31" s="478">
        <v>2021</v>
      </c>
      <c r="E31" s="5">
        <f>E29+E30</f>
        <v>97734</v>
      </c>
      <c r="F31" s="5">
        <f>F29+F30</f>
        <v>97734</v>
      </c>
      <c r="G31" s="5">
        <f>G29+G30</f>
        <v>0</v>
      </c>
      <c r="H31" s="5">
        <f>H29+H30</f>
        <v>0</v>
      </c>
      <c r="I31" s="5"/>
      <c r="J31" s="469"/>
    </row>
    <row r="32" spans="1:10" ht="15">
      <c r="A32" s="467">
        <f t="shared" si="6" ref="A32:A35">A31+1</f>
        <v>21</v>
      </c>
      <c r="B32" s="466" t="s">
        <v>818</v>
      </c>
      <c r="C32" s="462"/>
      <c r="D32" s="462"/>
      <c r="E32" s="469"/>
      <c r="F32" s="469">
        <v>1</v>
      </c>
      <c r="G32" s="469"/>
      <c r="H32" s="469"/>
      <c r="I32" s="469"/>
      <c r="J32" s="470">
        <v>1</v>
      </c>
    </row>
    <row r="33" spans="1:10" ht="15">
      <c r="A33" s="467">
        <f t="shared" si="6"/>
        <v>22</v>
      </c>
      <c r="B33" s="466" t="s">
        <v>819</v>
      </c>
      <c r="C33" s="462"/>
      <c r="D33" s="462"/>
      <c r="E33" s="469"/>
      <c r="F33" s="469"/>
      <c r="G33" s="469">
        <f>+'Attachment H'!$G$84</f>
        <v>0</v>
      </c>
      <c r="H33" s="469"/>
      <c r="I33" s="469"/>
      <c r="J33" s="462" t="s">
        <v>820</v>
      </c>
    </row>
    <row r="34" spans="1:10" ht="15">
      <c r="A34" s="467">
        <f t="shared" si="6"/>
        <v>23</v>
      </c>
      <c r="B34" s="466" t="s">
        <v>821</v>
      </c>
      <c r="C34" s="462"/>
      <c r="D34" s="462"/>
      <c r="E34" s="469"/>
      <c r="F34" s="469"/>
      <c r="G34" s="469"/>
      <c r="H34" s="469">
        <f>+'Attachment H'!$I$197</f>
        <v>0</v>
      </c>
      <c r="I34" s="469"/>
      <c r="J34" s="462" t="s">
        <v>822</v>
      </c>
    </row>
    <row r="35" spans="1:10" ht="15">
      <c r="A35" s="467">
        <f t="shared" si="6"/>
        <v>24</v>
      </c>
      <c r="B35" s="466" t="s">
        <v>823</v>
      </c>
      <c r="C35" s="462"/>
      <c r="D35" s="462"/>
      <c r="E35" s="469">
        <f>E31</f>
        <v>97734</v>
      </c>
      <c r="F35" s="469">
        <f>+F31*F32</f>
        <v>97734</v>
      </c>
      <c r="G35" s="469">
        <f>+G31*G33</f>
        <v>0</v>
      </c>
      <c r="H35" s="469">
        <f>+H31*H34</f>
        <v>0</v>
      </c>
      <c r="I35" s="469">
        <f>+F35+G35+H35</f>
        <v>97734</v>
      </c>
      <c r="J35" s="469" t="s">
        <v>835</v>
      </c>
    </row>
    <row r="36" spans="1:10" ht="15">
      <c r="A36" s="462"/>
      <c r="B36" s="462"/>
      <c r="C36" s="462"/>
      <c r="D36" s="462"/>
      <c r="E36" s="462"/>
      <c r="F36" s="462"/>
      <c r="G36" s="462"/>
      <c r="H36" s="462"/>
      <c r="I36" s="462"/>
      <c r="J36" s="462"/>
    </row>
  </sheetData>
  <mergeCells count="3">
    <mergeCell ref="A1:J1"/>
    <mergeCell ref="A2:J2"/>
    <mergeCell ref="A3:J3"/>
  </mergeCells>
  <pageMargins left="0.25" right="0.25" top="0.75" bottom="0.75" header="0.3" footer="0.3"/>
  <pageSetup orientation="landscape" scale="62"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34D4-9293-4F2E-820A-AD0F1F3AE915}">
  <sheetPr>
    <pageSetUpPr fitToPage="1"/>
  </sheetPr>
  <dimension ref="A1:L61"/>
  <sheetViews>
    <sheetView view="pageBreakPreview" zoomScale="60" zoomScaleNormal="100" workbookViewId="0" topLeftCell="A1">
      <selection pane="topLeft" activeCell="A1" sqref="A1:L1"/>
    </sheetView>
  </sheetViews>
  <sheetFormatPr defaultRowHeight="15"/>
  <cols>
    <col min="1" max="1" width="7.33333333333333" style="2" customWidth="1"/>
    <col min="2" max="2" width="40" style="2" customWidth="1"/>
    <col min="3" max="3" width="13.6666666666667" style="2" customWidth="1"/>
    <col min="4" max="4" width="12.6666666666667" style="2" customWidth="1"/>
    <col min="5" max="5" width="12.8888888888889" style="2" customWidth="1"/>
    <col min="6" max="6" width="19.1111111111111" style="2" customWidth="1"/>
    <col min="7" max="7" width="15.5555555555556" style="2" customWidth="1"/>
    <col min="8" max="8" width="15.3333333333333" style="2" customWidth="1"/>
    <col min="9" max="9" width="15.4444444444444" style="2" customWidth="1"/>
    <col min="10" max="10" width="20.4444444444444" style="2" customWidth="1"/>
    <col min="11" max="11" width="18.1111111111111" style="2" customWidth="1"/>
    <col min="12" max="12" width="15.5555555555556" style="2" customWidth="1"/>
    <col min="13" max="16384" width="9.11111111111111" style="2"/>
  </cols>
  <sheetData>
    <row r="1" spans="1:12" ht="15">
      <c r="A1" s="1053" t="s">
        <v>836</v>
      </c>
      <c r="B1" s="1053"/>
      <c r="C1" s="1053"/>
      <c r="D1" s="1053"/>
      <c r="E1" s="1053"/>
      <c r="F1" s="1053"/>
      <c r="G1" s="1053"/>
      <c r="H1" s="1053"/>
      <c r="I1" s="1053"/>
      <c r="J1" s="1053"/>
      <c r="K1" s="1053"/>
      <c r="L1" s="1053"/>
    </row>
    <row r="2" spans="1:12" ht="15">
      <c r="A2" s="1053" t="s">
        <v>243</v>
      </c>
      <c r="B2" s="1053"/>
      <c r="C2" s="1053"/>
      <c r="D2" s="1053"/>
      <c r="E2" s="1053"/>
      <c r="F2" s="1053"/>
      <c r="G2" s="1053"/>
      <c r="H2" s="1053"/>
      <c r="I2" s="1053"/>
      <c r="J2" s="1053"/>
      <c r="K2" s="1053"/>
      <c r="L2" s="1053"/>
    </row>
    <row r="3" spans="1:12" ht="15">
      <c r="A3" s="1053" t="s">
        <v>1322</v>
      </c>
      <c r="B3" s="1053"/>
      <c r="C3" s="1053"/>
      <c r="D3" s="1053"/>
      <c r="E3" s="1053"/>
      <c r="F3" s="1053"/>
      <c r="G3" s="1053"/>
      <c r="H3" s="1054"/>
      <c r="I3" s="1053"/>
      <c r="J3" s="1053"/>
      <c r="K3" s="1053"/>
      <c r="L3" s="1053"/>
    </row>
    <row r="4" spans="1:12" ht="15">
      <c r="A4" s="471"/>
      <c r="B4" s="472"/>
      <c r="C4" s="471"/>
      <c r="D4" s="471"/>
      <c r="E4" s="471"/>
      <c r="F4" s="471"/>
      <c r="G4" s="471"/>
      <c r="H4" s="471"/>
      <c r="I4" s="471"/>
      <c r="J4" s="471"/>
      <c r="K4" s="471"/>
      <c r="L4" s="471"/>
    </row>
    <row r="5" spans="1:12" ht="15">
      <c r="A5" s="471"/>
      <c r="B5" s="472"/>
      <c r="C5" s="471"/>
      <c r="D5" s="471"/>
      <c r="E5" s="471"/>
      <c r="F5" s="471"/>
      <c r="G5" s="471"/>
      <c r="H5" s="471"/>
      <c r="I5" s="471"/>
      <c r="J5" s="471"/>
      <c r="K5" s="471"/>
      <c r="L5" s="471"/>
    </row>
    <row r="6" spans="1:12" ht="15">
      <c r="A6" s="471"/>
      <c r="B6" s="473" t="s">
        <v>197</v>
      </c>
      <c r="C6" s="473" t="s">
        <v>198</v>
      </c>
      <c r="D6" s="473" t="s">
        <v>199</v>
      </c>
      <c r="E6" s="473" t="s">
        <v>200</v>
      </c>
      <c r="F6" s="473" t="s">
        <v>201</v>
      </c>
      <c r="G6" s="473" t="s">
        <v>221</v>
      </c>
      <c r="H6" s="473" t="s">
        <v>222</v>
      </c>
      <c r="I6" s="473" t="s">
        <v>223</v>
      </c>
      <c r="J6" s="473" t="s">
        <v>678</v>
      </c>
      <c r="K6" s="473" t="s">
        <v>732</v>
      </c>
      <c r="L6" s="473" t="s">
        <v>733</v>
      </c>
    </row>
    <row r="7" spans="1:12" ht="38.25">
      <c r="A7" s="474"/>
      <c r="B7" s="475" t="s">
        <v>805</v>
      </c>
      <c r="C7" s="475" t="s">
        <v>194</v>
      </c>
      <c r="D7" s="475" t="s">
        <v>806</v>
      </c>
      <c r="E7" s="475" t="s">
        <v>837</v>
      </c>
      <c r="F7" s="475" t="s">
        <v>838</v>
      </c>
      <c r="G7" s="475" t="s">
        <v>314</v>
      </c>
      <c r="H7" s="475" t="s">
        <v>839</v>
      </c>
      <c r="I7" s="475" t="s">
        <v>809</v>
      </c>
      <c r="J7" s="475" t="s">
        <v>840</v>
      </c>
      <c r="K7" s="475" t="s">
        <v>810</v>
      </c>
      <c r="L7" s="475" t="s">
        <v>841</v>
      </c>
    </row>
    <row r="8" spans="1:12" ht="15">
      <c r="A8" s="471" t="s">
        <v>842</v>
      </c>
      <c r="B8" s="472"/>
      <c r="C8" s="471"/>
      <c r="D8" s="473"/>
      <c r="E8" s="473"/>
      <c r="F8" s="1020"/>
      <c r="G8" s="1021"/>
      <c r="H8" s="471"/>
      <c r="I8" s="471"/>
      <c r="J8" s="471"/>
      <c r="K8" s="471"/>
      <c r="L8" s="476"/>
    </row>
    <row r="9" spans="1:12" ht="15">
      <c r="A9" s="477">
        <v>1</v>
      </c>
      <c r="B9" s="472" t="s">
        <v>843</v>
      </c>
      <c r="C9" s="471" t="s">
        <v>751</v>
      </c>
      <c r="D9" s="478">
        <v>2020</v>
      </c>
      <c r="E9" s="479">
        <f>365/365</f>
        <v>1</v>
      </c>
      <c r="F9" s="480">
        <f>+H9+J9+L9</f>
        <v>-482274.37090259668</v>
      </c>
      <c r="G9" s="480">
        <f>+'4c - ADIT BOY'!E55</f>
        <v>-482274.37090259668</v>
      </c>
      <c r="H9" s="481">
        <f t="shared" si="0" ref="H9:H21">E9*G9</f>
        <v>-482274.37090259668</v>
      </c>
      <c r="I9" s="480">
        <f>+'4c - ADIT BOY'!F55</f>
        <v>0</v>
      </c>
      <c r="J9" s="481">
        <f t="shared" si="1" ref="J9:J21">I9*E9</f>
        <v>0</v>
      </c>
      <c r="K9" s="480">
        <f>+'4c - ADIT BOY'!G55</f>
        <v>0</v>
      </c>
      <c r="L9" s="481">
        <f t="shared" si="2" ref="L9:L21">E9*K9</f>
        <v>0</v>
      </c>
    </row>
    <row r="10" spans="1:12" ht="15">
      <c r="A10" s="477">
        <f t="shared" si="3" ref="A10:A22">+A9+1</f>
        <v>2</v>
      </c>
      <c r="B10" s="472" t="s">
        <v>844</v>
      </c>
      <c r="C10" s="471" t="s">
        <v>207</v>
      </c>
      <c r="D10" s="478">
        <v>2021</v>
      </c>
      <c r="E10" s="479">
        <f>335/365</f>
        <v>0.9178082191780822</v>
      </c>
      <c r="F10" s="482">
        <v>-5324</v>
      </c>
      <c r="G10" s="482">
        <f>+F10</f>
        <v>-5324</v>
      </c>
      <c r="H10" s="480">
        <f t="shared" si="0"/>
        <v>-4886.41095890411</v>
      </c>
      <c r="I10" s="482">
        <v>0</v>
      </c>
      <c r="J10" s="481">
        <f t="shared" si="1"/>
        <v>0</v>
      </c>
      <c r="K10" s="482">
        <v>0</v>
      </c>
      <c r="L10" s="481">
        <f t="shared" si="2"/>
        <v>0</v>
      </c>
    </row>
    <row r="11" spans="1:12" ht="15">
      <c r="A11" s="477">
        <f t="shared" si="3"/>
        <v>3</v>
      </c>
      <c r="B11" s="472" t="s">
        <v>844</v>
      </c>
      <c r="C11" s="471" t="s">
        <v>208</v>
      </c>
      <c r="D11" s="478">
        <v>2021</v>
      </c>
      <c r="E11" s="479">
        <f>307/365</f>
        <v>0.84109589041095889</v>
      </c>
      <c r="F11" s="482">
        <v>-5324</v>
      </c>
      <c r="G11" s="482">
        <f t="shared" si="4" ref="G11:G21">+F11</f>
        <v>-5324</v>
      </c>
      <c r="H11" s="480">
        <f t="shared" si="0"/>
        <v>-4477.9945205479453</v>
      </c>
      <c r="I11" s="482">
        <v>0</v>
      </c>
      <c r="J11" s="481">
        <f t="shared" si="1"/>
        <v>0</v>
      </c>
      <c r="K11" s="482">
        <v>0</v>
      </c>
      <c r="L11" s="481">
        <f t="shared" si="2"/>
        <v>0</v>
      </c>
    </row>
    <row r="12" spans="1:12" ht="15">
      <c r="A12" s="477">
        <f t="shared" si="3"/>
        <v>4</v>
      </c>
      <c r="B12" s="472" t="s">
        <v>844</v>
      </c>
      <c r="C12" s="471" t="s">
        <v>748</v>
      </c>
      <c r="D12" s="478">
        <v>2021</v>
      </c>
      <c r="E12" s="479">
        <f>276/365</f>
        <v>0.75616438356164384</v>
      </c>
      <c r="F12" s="482">
        <v>-5324</v>
      </c>
      <c r="G12" s="482">
        <f t="shared" si="4"/>
        <v>-5324</v>
      </c>
      <c r="H12" s="481">
        <f t="shared" si="0"/>
        <v>-4025.8191780821917</v>
      </c>
      <c r="I12" s="482">
        <v>0</v>
      </c>
      <c r="J12" s="481">
        <f t="shared" si="1"/>
        <v>0</v>
      </c>
      <c r="K12" s="482">
        <v>0</v>
      </c>
      <c r="L12" s="481">
        <f t="shared" si="2"/>
        <v>0</v>
      </c>
    </row>
    <row r="13" spans="1:12" ht="15">
      <c r="A13" s="477">
        <f t="shared" si="3"/>
        <v>5</v>
      </c>
      <c r="B13" s="472" t="s">
        <v>844</v>
      </c>
      <c r="C13" s="471" t="s">
        <v>210</v>
      </c>
      <c r="D13" s="478">
        <v>2021</v>
      </c>
      <c r="E13" s="479">
        <f>246/365</f>
        <v>0.67397260273972603</v>
      </c>
      <c r="F13" s="482">
        <v>-5324</v>
      </c>
      <c r="G13" s="482">
        <f t="shared" si="4"/>
        <v>-5324</v>
      </c>
      <c r="H13" s="481">
        <f t="shared" si="0"/>
        <v>-3588.2301369863012</v>
      </c>
      <c r="I13" s="482">
        <v>0</v>
      </c>
      <c r="J13" s="481">
        <f t="shared" si="1"/>
        <v>0</v>
      </c>
      <c r="K13" s="482">
        <v>0</v>
      </c>
      <c r="L13" s="481">
        <f t="shared" si="2"/>
        <v>0</v>
      </c>
    </row>
    <row r="14" spans="1:12" ht="15">
      <c r="A14" s="477">
        <f t="shared" si="3"/>
        <v>6</v>
      </c>
      <c r="B14" s="472" t="s">
        <v>844</v>
      </c>
      <c r="C14" s="471" t="s">
        <v>211</v>
      </c>
      <c r="D14" s="478">
        <v>2021</v>
      </c>
      <c r="E14" s="479">
        <f>215/365</f>
        <v>0.58904109589041098</v>
      </c>
      <c r="F14" s="482">
        <v>-5323</v>
      </c>
      <c r="G14" s="482">
        <f t="shared" si="4"/>
        <v>-5323</v>
      </c>
      <c r="H14" s="481">
        <f t="shared" si="0"/>
        <v>-3135.4657534246576</v>
      </c>
      <c r="I14" s="482">
        <v>0</v>
      </c>
      <c r="J14" s="481">
        <f t="shared" si="1"/>
        <v>0</v>
      </c>
      <c r="K14" s="482">
        <v>0</v>
      </c>
      <c r="L14" s="481">
        <f t="shared" si="2"/>
        <v>0</v>
      </c>
    </row>
    <row r="15" spans="1:12" ht="15">
      <c r="A15" s="477">
        <f t="shared" si="3"/>
        <v>7</v>
      </c>
      <c r="B15" s="472" t="s">
        <v>844</v>
      </c>
      <c r="C15" s="471" t="s">
        <v>212</v>
      </c>
      <c r="D15" s="478">
        <v>2021</v>
      </c>
      <c r="E15" s="479">
        <f>185/365</f>
        <v>0.50684931506849318</v>
      </c>
      <c r="F15" s="482">
        <v>-5323</v>
      </c>
      <c r="G15" s="482">
        <f t="shared" si="4"/>
        <v>-5323</v>
      </c>
      <c r="H15" s="481">
        <f t="shared" si="0"/>
        <v>-2697.9589041095892</v>
      </c>
      <c r="I15" s="482">
        <v>0</v>
      </c>
      <c r="J15" s="481">
        <f t="shared" si="1"/>
        <v>0</v>
      </c>
      <c r="K15" s="482">
        <v>0</v>
      </c>
      <c r="L15" s="481">
        <f t="shared" si="2"/>
        <v>0</v>
      </c>
    </row>
    <row r="16" spans="1:12" ht="15">
      <c r="A16" s="477">
        <f t="shared" si="3"/>
        <v>8</v>
      </c>
      <c r="B16" s="472" t="s">
        <v>844</v>
      </c>
      <c r="C16" s="471" t="s">
        <v>213</v>
      </c>
      <c r="D16" s="478">
        <v>2021</v>
      </c>
      <c r="E16" s="479">
        <f>154/365</f>
        <v>0.42191780821917807</v>
      </c>
      <c r="F16" s="482">
        <v>-5323</v>
      </c>
      <c r="G16" s="482">
        <f t="shared" si="4"/>
        <v>-5323</v>
      </c>
      <c r="H16" s="481">
        <f t="shared" si="0"/>
        <v>-2245.868493150685</v>
      </c>
      <c r="I16" s="482">
        <v>0</v>
      </c>
      <c r="J16" s="481">
        <f t="shared" si="1"/>
        <v>0</v>
      </c>
      <c r="K16" s="482">
        <v>0</v>
      </c>
      <c r="L16" s="481">
        <f t="shared" si="2"/>
        <v>0</v>
      </c>
    </row>
    <row r="17" spans="1:12" ht="15">
      <c r="A17" s="477">
        <f t="shared" si="3"/>
        <v>9</v>
      </c>
      <c r="B17" s="472" t="s">
        <v>844</v>
      </c>
      <c r="C17" s="471" t="s">
        <v>750</v>
      </c>
      <c r="D17" s="478">
        <v>2021</v>
      </c>
      <c r="E17" s="479">
        <f>123/365</f>
        <v>0.33698630136986302</v>
      </c>
      <c r="F17" s="482">
        <v>-5323</v>
      </c>
      <c r="G17" s="482">
        <f t="shared" si="4"/>
        <v>-5323</v>
      </c>
      <c r="H17" s="481">
        <f t="shared" si="0"/>
        <v>-1793.7780821917809</v>
      </c>
      <c r="I17" s="482">
        <v>0</v>
      </c>
      <c r="J17" s="481">
        <f t="shared" si="1"/>
        <v>0</v>
      </c>
      <c r="K17" s="482">
        <v>0</v>
      </c>
      <c r="L17" s="481">
        <f t="shared" si="2"/>
        <v>0</v>
      </c>
    </row>
    <row r="18" spans="1:12" ht="15">
      <c r="A18" s="477">
        <f t="shared" si="3"/>
        <v>10</v>
      </c>
      <c r="B18" s="472" t="s">
        <v>844</v>
      </c>
      <c r="C18" s="471" t="s">
        <v>215</v>
      </c>
      <c r="D18" s="478">
        <v>2021</v>
      </c>
      <c r="E18" s="479">
        <f>93/365</f>
        <v>0.25479452054794521</v>
      </c>
      <c r="F18" s="482">
        <v>-5323</v>
      </c>
      <c r="G18" s="482">
        <f t="shared" si="4"/>
        <v>-5323</v>
      </c>
      <c r="H18" s="481">
        <f t="shared" si="0"/>
        <v>-1356.2712328767125</v>
      </c>
      <c r="I18" s="482">
        <v>0</v>
      </c>
      <c r="J18" s="481">
        <f t="shared" si="1"/>
        <v>0</v>
      </c>
      <c r="K18" s="482">
        <v>0</v>
      </c>
      <c r="L18" s="481">
        <f t="shared" si="2"/>
        <v>0</v>
      </c>
    </row>
    <row r="19" spans="1:12" ht="15">
      <c r="A19" s="477">
        <f t="shared" si="3"/>
        <v>11</v>
      </c>
      <c r="B19" s="472" t="s">
        <v>844</v>
      </c>
      <c r="C19" s="471" t="s">
        <v>216</v>
      </c>
      <c r="D19" s="478">
        <v>2021</v>
      </c>
      <c r="E19" s="479">
        <f>62/365</f>
        <v>0.16986301369863013</v>
      </c>
      <c r="F19" s="482">
        <v>-5323</v>
      </c>
      <c r="G19" s="482">
        <f t="shared" si="4"/>
        <v>-5323</v>
      </c>
      <c r="H19" s="481">
        <f t="shared" si="0"/>
        <v>-904.1808219178082</v>
      </c>
      <c r="I19" s="482">
        <v>0</v>
      </c>
      <c r="J19" s="481">
        <f t="shared" si="1"/>
        <v>0</v>
      </c>
      <c r="K19" s="482">
        <v>0</v>
      </c>
      <c r="L19" s="481">
        <f t="shared" si="2"/>
        <v>0</v>
      </c>
    </row>
    <row r="20" spans="1:12" ht="15">
      <c r="A20" s="477">
        <f t="shared" si="3"/>
        <v>12</v>
      </c>
      <c r="B20" s="472" t="s">
        <v>844</v>
      </c>
      <c r="C20" s="471" t="s">
        <v>217</v>
      </c>
      <c r="D20" s="478">
        <v>2021</v>
      </c>
      <c r="E20" s="479">
        <f>32/365</f>
        <v>0.087671232876712329</v>
      </c>
      <c r="F20" s="482">
        <v>-5323</v>
      </c>
      <c r="G20" s="482">
        <f t="shared" si="4"/>
        <v>-5323</v>
      </c>
      <c r="H20" s="481">
        <f t="shared" si="0"/>
        <v>-466.67397260273975</v>
      </c>
      <c r="I20" s="482">
        <v>0</v>
      </c>
      <c r="J20" s="481">
        <f t="shared" si="1"/>
        <v>0</v>
      </c>
      <c r="K20" s="482">
        <v>0</v>
      </c>
      <c r="L20" s="481">
        <f t="shared" si="2"/>
        <v>0</v>
      </c>
    </row>
    <row r="21" spans="1:12" ht="15">
      <c r="A21" s="477">
        <f t="shared" si="3"/>
        <v>13</v>
      </c>
      <c r="B21" s="472" t="s">
        <v>844</v>
      </c>
      <c r="C21" s="471" t="s">
        <v>751</v>
      </c>
      <c r="D21" s="478">
        <v>2021</v>
      </c>
      <c r="E21" s="479">
        <f>1/365</f>
        <v>0.0027397260273972603</v>
      </c>
      <c r="F21" s="482">
        <v>-5323</v>
      </c>
      <c r="G21" s="482">
        <f t="shared" si="4"/>
        <v>-5323</v>
      </c>
      <c r="H21" s="481">
        <f t="shared" si="0"/>
        <v>-14.583561643835617</v>
      </c>
      <c r="I21" s="482">
        <v>0</v>
      </c>
      <c r="J21" s="481">
        <f t="shared" si="1"/>
        <v>0</v>
      </c>
      <c r="K21" s="482">
        <v>0</v>
      </c>
      <c r="L21" s="481">
        <f t="shared" si="2"/>
        <v>0</v>
      </c>
    </row>
    <row r="22" spans="1:12" ht="15">
      <c r="A22" s="477">
        <f t="shared" si="3"/>
        <v>14</v>
      </c>
      <c r="B22" s="472" t="s">
        <v>845</v>
      </c>
      <c r="C22" s="471"/>
      <c r="D22" s="471"/>
      <c r="E22" s="471"/>
      <c r="F22" s="481">
        <f t="shared" si="5" ref="F22:L22">SUM(F9:F21)</f>
        <v>-546154.37090259674</v>
      </c>
      <c r="G22" s="481">
        <f t="shared" si="5"/>
        <v>-546154.37090259674</v>
      </c>
      <c r="H22" s="481">
        <f t="shared" si="5"/>
        <v>-511867.60651903506</v>
      </c>
      <c r="I22" s="481">
        <f t="shared" si="5"/>
        <v>0</v>
      </c>
      <c r="J22" s="481">
        <f t="shared" si="5"/>
        <v>0</v>
      </c>
      <c r="K22" s="481">
        <f t="shared" si="5"/>
        <v>0</v>
      </c>
      <c r="L22" s="481">
        <f t="shared" si="5"/>
        <v>0</v>
      </c>
    </row>
    <row r="23" spans="1:12" ht="15">
      <c r="A23" s="477"/>
      <c r="B23" s="472"/>
      <c r="C23" s="471"/>
      <c r="D23" s="471"/>
      <c r="E23" s="471"/>
      <c r="F23" s="1020"/>
      <c r="G23" s="1021"/>
      <c r="H23" s="471"/>
      <c r="I23" s="471"/>
      <c r="J23" s="471"/>
      <c r="K23" s="471"/>
      <c r="L23" s="471"/>
    </row>
    <row r="24" spans="1:12" ht="15">
      <c r="A24" s="471" t="s">
        <v>846</v>
      </c>
      <c r="B24" s="472"/>
      <c r="C24" s="471"/>
      <c r="D24" s="473"/>
      <c r="E24" s="473"/>
      <c r="F24" s="1020"/>
      <c r="G24" s="1021"/>
      <c r="H24" s="471"/>
      <c r="I24" s="471"/>
      <c r="J24" s="471"/>
      <c r="K24" s="471"/>
      <c r="L24" s="471"/>
    </row>
    <row r="25" spans="1:12" ht="15">
      <c r="A25" s="477">
        <f>A22+1</f>
        <v>15</v>
      </c>
      <c r="B25" s="472" t="s">
        <v>847</v>
      </c>
      <c r="C25" s="471" t="s">
        <v>751</v>
      </c>
      <c r="D25" s="478">
        <v>2020</v>
      </c>
      <c r="E25" s="479">
        <f>365/365</f>
        <v>1</v>
      </c>
      <c r="F25" s="480">
        <f>+H25+J25+L25</f>
        <v>-2521</v>
      </c>
      <c r="G25" s="1022">
        <f>+'4c - ADIT BOY'!E79</f>
        <v>-2521</v>
      </c>
      <c r="H25" s="481">
        <f t="shared" si="6" ref="H25:H37">E25*G25</f>
        <v>-2521</v>
      </c>
      <c r="I25" s="480">
        <f>+'4c - ADIT BOY'!F75</f>
        <v>0</v>
      </c>
      <c r="J25" s="481">
        <f t="shared" si="7" ref="J25:J37">I25*E25</f>
        <v>0</v>
      </c>
      <c r="K25" s="480">
        <f>+'4c - ADIT BOY'!G75</f>
        <v>0</v>
      </c>
      <c r="L25" s="481">
        <f t="shared" si="8" ref="L25:L37">E25*K25</f>
        <v>0</v>
      </c>
    </row>
    <row r="26" spans="1:12" ht="15">
      <c r="A26" s="477">
        <f t="shared" si="9" ref="A26:A38">+A25+1</f>
        <v>16</v>
      </c>
      <c r="B26" s="472" t="s">
        <v>844</v>
      </c>
      <c r="C26" s="471" t="s">
        <v>207</v>
      </c>
      <c r="D26" s="478">
        <v>2021</v>
      </c>
      <c r="E26" s="479">
        <f>335/365</f>
        <v>0.9178082191780822</v>
      </c>
      <c r="F26" s="482">
        <v>102</v>
      </c>
      <c r="G26" s="482">
        <f>F26</f>
        <v>102</v>
      </c>
      <c r="H26" s="481">
        <f t="shared" si="6"/>
        <v>93.61643835616438</v>
      </c>
      <c r="I26" s="482">
        <v>0</v>
      </c>
      <c r="J26" s="481">
        <f t="shared" si="7"/>
        <v>0</v>
      </c>
      <c r="K26" s="482">
        <v>0</v>
      </c>
      <c r="L26" s="481">
        <f t="shared" si="8"/>
        <v>0</v>
      </c>
    </row>
    <row r="27" spans="1:12" ht="15">
      <c r="A27" s="477">
        <f t="shared" si="9"/>
        <v>17</v>
      </c>
      <c r="B27" s="472" t="s">
        <v>844</v>
      </c>
      <c r="C27" s="471" t="s">
        <v>208</v>
      </c>
      <c r="D27" s="478">
        <v>2021</v>
      </c>
      <c r="E27" s="479">
        <f>307/365</f>
        <v>0.84109589041095889</v>
      </c>
      <c r="F27" s="482">
        <v>102</v>
      </c>
      <c r="G27" s="482">
        <f t="shared" si="10" ref="G27:G37">F27</f>
        <v>102</v>
      </c>
      <c r="H27" s="481">
        <f t="shared" si="6"/>
        <v>85.791780821917811</v>
      </c>
      <c r="I27" s="482">
        <v>0</v>
      </c>
      <c r="J27" s="481">
        <f t="shared" si="7"/>
        <v>0</v>
      </c>
      <c r="K27" s="482">
        <v>0</v>
      </c>
      <c r="L27" s="481">
        <f t="shared" si="8"/>
        <v>0</v>
      </c>
    </row>
    <row r="28" spans="1:12" ht="15">
      <c r="A28" s="477">
        <f t="shared" si="9"/>
        <v>18</v>
      </c>
      <c r="B28" s="472" t="s">
        <v>844</v>
      </c>
      <c r="C28" s="471" t="s">
        <v>748</v>
      </c>
      <c r="D28" s="478">
        <v>2021</v>
      </c>
      <c r="E28" s="479">
        <f>276/365</f>
        <v>0.75616438356164384</v>
      </c>
      <c r="F28" s="482">
        <v>102</v>
      </c>
      <c r="G28" s="482">
        <f t="shared" si="10"/>
        <v>102</v>
      </c>
      <c r="H28" s="481">
        <f t="shared" si="6"/>
        <v>77.128767123287673</v>
      </c>
      <c r="I28" s="482">
        <v>0</v>
      </c>
      <c r="J28" s="481">
        <f t="shared" si="7"/>
        <v>0</v>
      </c>
      <c r="K28" s="482">
        <v>0</v>
      </c>
      <c r="L28" s="481">
        <f t="shared" si="8"/>
        <v>0</v>
      </c>
    </row>
    <row r="29" spans="1:12" ht="15">
      <c r="A29" s="477">
        <f t="shared" si="9"/>
        <v>19</v>
      </c>
      <c r="B29" s="472" t="s">
        <v>844</v>
      </c>
      <c r="C29" s="471" t="s">
        <v>210</v>
      </c>
      <c r="D29" s="478">
        <v>2021</v>
      </c>
      <c r="E29" s="479">
        <f>246/365</f>
        <v>0.67397260273972603</v>
      </c>
      <c r="F29" s="482">
        <v>102</v>
      </c>
      <c r="G29" s="482">
        <f t="shared" si="10"/>
        <v>102</v>
      </c>
      <c r="H29" s="481">
        <f t="shared" si="6"/>
        <v>68.745205479452054</v>
      </c>
      <c r="I29" s="482">
        <v>0</v>
      </c>
      <c r="J29" s="481">
        <f t="shared" si="7"/>
        <v>0</v>
      </c>
      <c r="K29" s="482">
        <v>0</v>
      </c>
      <c r="L29" s="481">
        <f t="shared" si="8"/>
        <v>0</v>
      </c>
    </row>
    <row r="30" spans="1:12" ht="15">
      <c r="A30" s="477">
        <f t="shared" si="9"/>
        <v>20</v>
      </c>
      <c r="B30" s="472" t="s">
        <v>844</v>
      </c>
      <c r="C30" s="471" t="s">
        <v>211</v>
      </c>
      <c r="D30" s="478">
        <v>2021</v>
      </c>
      <c r="E30" s="479">
        <f>215/365</f>
        <v>0.58904109589041098</v>
      </c>
      <c r="F30" s="482">
        <v>102</v>
      </c>
      <c r="G30" s="482">
        <f t="shared" si="10"/>
        <v>102</v>
      </c>
      <c r="H30" s="481">
        <f t="shared" si="6"/>
        <v>60.082191780821923</v>
      </c>
      <c r="I30" s="482">
        <v>0</v>
      </c>
      <c r="J30" s="481">
        <f t="shared" si="7"/>
        <v>0</v>
      </c>
      <c r="K30" s="482">
        <v>0</v>
      </c>
      <c r="L30" s="481">
        <f t="shared" si="8"/>
        <v>0</v>
      </c>
    </row>
    <row r="31" spans="1:12" ht="15">
      <c r="A31" s="477">
        <f t="shared" si="9"/>
        <v>21</v>
      </c>
      <c r="B31" s="472" t="s">
        <v>844</v>
      </c>
      <c r="C31" s="471" t="s">
        <v>212</v>
      </c>
      <c r="D31" s="478">
        <v>2021</v>
      </c>
      <c r="E31" s="479">
        <f>185/365</f>
        <v>0.50684931506849318</v>
      </c>
      <c r="F31" s="482">
        <v>102</v>
      </c>
      <c r="G31" s="482">
        <f t="shared" si="10"/>
        <v>102</v>
      </c>
      <c r="H31" s="481">
        <f t="shared" si="6"/>
        <v>51.698630136986303</v>
      </c>
      <c r="I31" s="482">
        <v>0</v>
      </c>
      <c r="J31" s="481">
        <f t="shared" si="7"/>
        <v>0</v>
      </c>
      <c r="K31" s="482">
        <v>0</v>
      </c>
      <c r="L31" s="481">
        <f t="shared" si="8"/>
        <v>0</v>
      </c>
    </row>
    <row r="32" spans="1:12" ht="15">
      <c r="A32" s="477">
        <f t="shared" si="9"/>
        <v>22</v>
      </c>
      <c r="B32" s="472" t="s">
        <v>844</v>
      </c>
      <c r="C32" s="471" t="s">
        <v>213</v>
      </c>
      <c r="D32" s="478">
        <v>2021</v>
      </c>
      <c r="E32" s="479">
        <f>154/365</f>
        <v>0.42191780821917807</v>
      </c>
      <c r="F32" s="482">
        <v>103</v>
      </c>
      <c r="G32" s="482">
        <f t="shared" si="10"/>
        <v>103</v>
      </c>
      <c r="H32" s="481">
        <f t="shared" si="6"/>
        <v>43.457534246575342</v>
      </c>
      <c r="I32" s="482">
        <v>0</v>
      </c>
      <c r="J32" s="481">
        <f t="shared" si="7"/>
        <v>0</v>
      </c>
      <c r="K32" s="482">
        <v>0</v>
      </c>
      <c r="L32" s="481">
        <f t="shared" si="8"/>
        <v>0</v>
      </c>
    </row>
    <row r="33" spans="1:12" ht="15">
      <c r="A33" s="477">
        <f t="shared" si="9"/>
        <v>23</v>
      </c>
      <c r="B33" s="472" t="s">
        <v>844</v>
      </c>
      <c r="C33" s="471" t="s">
        <v>750</v>
      </c>
      <c r="D33" s="478">
        <v>2021</v>
      </c>
      <c r="E33" s="479">
        <f>123/365</f>
        <v>0.33698630136986302</v>
      </c>
      <c r="F33" s="482">
        <v>103</v>
      </c>
      <c r="G33" s="482">
        <f t="shared" si="10"/>
        <v>103</v>
      </c>
      <c r="H33" s="481">
        <f t="shared" si="6"/>
        <v>34.709589041095889</v>
      </c>
      <c r="I33" s="482">
        <v>0</v>
      </c>
      <c r="J33" s="481">
        <f t="shared" si="7"/>
        <v>0</v>
      </c>
      <c r="K33" s="482">
        <v>0</v>
      </c>
      <c r="L33" s="481">
        <f t="shared" si="8"/>
        <v>0</v>
      </c>
    </row>
    <row r="34" spans="1:12" ht="15">
      <c r="A34" s="477">
        <f t="shared" si="9"/>
        <v>24</v>
      </c>
      <c r="B34" s="472" t="s">
        <v>844</v>
      </c>
      <c r="C34" s="471" t="s">
        <v>215</v>
      </c>
      <c r="D34" s="478">
        <v>2021</v>
      </c>
      <c r="E34" s="479">
        <f>93/365</f>
        <v>0.25479452054794521</v>
      </c>
      <c r="F34" s="482">
        <v>103</v>
      </c>
      <c r="G34" s="482">
        <f t="shared" si="10"/>
        <v>103</v>
      </c>
      <c r="H34" s="481">
        <f t="shared" si="6"/>
        <v>26.243835616438357</v>
      </c>
      <c r="I34" s="482">
        <v>0</v>
      </c>
      <c r="J34" s="481">
        <f t="shared" si="7"/>
        <v>0</v>
      </c>
      <c r="K34" s="482">
        <v>0</v>
      </c>
      <c r="L34" s="481">
        <f t="shared" si="8"/>
        <v>0</v>
      </c>
    </row>
    <row r="35" spans="1:12" ht="15">
      <c r="A35" s="477">
        <f t="shared" si="9"/>
        <v>25</v>
      </c>
      <c r="B35" s="472" t="s">
        <v>844</v>
      </c>
      <c r="C35" s="471" t="s">
        <v>216</v>
      </c>
      <c r="D35" s="478">
        <v>2021</v>
      </c>
      <c r="E35" s="479">
        <f>62/365</f>
        <v>0.16986301369863013</v>
      </c>
      <c r="F35" s="482">
        <v>103</v>
      </c>
      <c r="G35" s="482">
        <f t="shared" si="10"/>
        <v>103</v>
      </c>
      <c r="H35" s="481">
        <f t="shared" si="6"/>
        <v>17.495890410958904</v>
      </c>
      <c r="I35" s="482">
        <v>0</v>
      </c>
      <c r="J35" s="481">
        <f t="shared" si="7"/>
        <v>0</v>
      </c>
      <c r="K35" s="482">
        <v>0</v>
      </c>
      <c r="L35" s="481">
        <f t="shared" si="8"/>
        <v>0</v>
      </c>
    </row>
    <row r="36" spans="1:12" ht="15">
      <c r="A36" s="477">
        <f t="shared" si="9"/>
        <v>26</v>
      </c>
      <c r="B36" s="472" t="s">
        <v>844</v>
      </c>
      <c r="C36" s="471" t="s">
        <v>217</v>
      </c>
      <c r="D36" s="478">
        <v>2021</v>
      </c>
      <c r="E36" s="479">
        <f>32/365</f>
        <v>0.087671232876712329</v>
      </c>
      <c r="F36" s="482">
        <v>103</v>
      </c>
      <c r="G36" s="482">
        <f t="shared" si="10"/>
        <v>103</v>
      </c>
      <c r="H36" s="481">
        <f t="shared" si="6"/>
        <v>9.0301369863013701</v>
      </c>
      <c r="I36" s="482">
        <v>0</v>
      </c>
      <c r="J36" s="481">
        <f t="shared" si="7"/>
        <v>0</v>
      </c>
      <c r="K36" s="482">
        <v>0</v>
      </c>
      <c r="L36" s="481">
        <f t="shared" si="8"/>
        <v>0</v>
      </c>
    </row>
    <row r="37" spans="1:12" ht="15">
      <c r="A37" s="477">
        <f t="shared" si="9"/>
        <v>27</v>
      </c>
      <c r="B37" s="472" t="s">
        <v>844</v>
      </c>
      <c r="C37" s="471" t="s">
        <v>751</v>
      </c>
      <c r="D37" s="478">
        <v>2021</v>
      </c>
      <c r="E37" s="479">
        <f>1/365</f>
        <v>0.0027397260273972603</v>
      </c>
      <c r="F37" s="482">
        <v>103</v>
      </c>
      <c r="G37" s="482">
        <f t="shared" si="10"/>
        <v>103</v>
      </c>
      <c r="H37" s="481">
        <f t="shared" si="6"/>
        <v>0.28219178082191781</v>
      </c>
      <c r="I37" s="482">
        <v>0</v>
      </c>
      <c r="J37" s="481">
        <f t="shared" si="7"/>
        <v>0</v>
      </c>
      <c r="K37" s="482">
        <v>0</v>
      </c>
      <c r="L37" s="481">
        <f t="shared" si="8"/>
        <v>0</v>
      </c>
    </row>
    <row r="38" spans="1:12" ht="15">
      <c r="A38" s="477">
        <f t="shared" si="9"/>
        <v>28</v>
      </c>
      <c r="B38" s="472" t="s">
        <v>848</v>
      </c>
      <c r="C38" s="471"/>
      <c r="D38" s="471"/>
      <c r="E38" s="471"/>
      <c r="F38" s="481">
        <f t="shared" si="11" ref="F38:L38">SUM(F25:F37)</f>
        <v>-1291</v>
      </c>
      <c r="G38" s="481">
        <f t="shared" si="11"/>
        <v>-1291</v>
      </c>
      <c r="H38" s="481">
        <f t="shared" si="11"/>
        <v>-1952.7178082191781</v>
      </c>
      <c r="I38" s="481">
        <f t="shared" si="11"/>
        <v>0</v>
      </c>
      <c r="J38" s="481">
        <f t="shared" si="11"/>
        <v>0</v>
      </c>
      <c r="K38" s="481">
        <f t="shared" si="11"/>
        <v>0</v>
      </c>
      <c r="L38" s="481">
        <f t="shared" si="11"/>
        <v>0</v>
      </c>
    </row>
    <row r="39" spans="1:12" ht="15">
      <c r="A39" s="477"/>
      <c r="B39" s="472"/>
      <c r="C39" s="471"/>
      <c r="D39" s="471"/>
      <c r="E39" s="471"/>
      <c r="F39" s="1020"/>
      <c r="G39" s="1021"/>
      <c r="H39" s="471"/>
      <c r="I39" s="481"/>
      <c r="J39" s="481"/>
      <c r="K39" s="481"/>
      <c r="L39" s="481"/>
    </row>
    <row r="40" spans="1:12" ht="15">
      <c r="A40" s="471" t="s">
        <v>849</v>
      </c>
      <c r="B40" s="472"/>
      <c r="C40" s="471"/>
      <c r="D40" s="473"/>
      <c r="E40" s="473"/>
      <c r="F40" s="1020"/>
      <c r="G40" s="1021"/>
      <c r="H40" s="471"/>
      <c r="I40" s="471"/>
      <c r="J40" s="471"/>
      <c r="K40" s="471"/>
      <c r="L40" s="471"/>
    </row>
    <row r="41" spans="1:12" ht="15">
      <c r="A41" s="477">
        <f>A38+1</f>
        <v>29</v>
      </c>
      <c r="B41" s="472" t="s">
        <v>850</v>
      </c>
      <c r="C41" s="471" t="s">
        <v>751</v>
      </c>
      <c r="D41" s="478">
        <v>2020</v>
      </c>
      <c r="E41" s="479">
        <f>365/365</f>
        <v>1</v>
      </c>
      <c r="F41" s="480">
        <f>+H41+J41+L41</f>
        <v>97734</v>
      </c>
      <c r="G41" s="1022">
        <f>+'4c - ADIT BOY'!E33</f>
        <v>97734</v>
      </c>
      <c r="H41" s="481">
        <f t="shared" si="12" ref="H41:H53">E41*G41</f>
        <v>97734</v>
      </c>
      <c r="I41" s="480">
        <f>+'4c - ADIT BOY'!F29</f>
        <v>0</v>
      </c>
      <c r="J41" s="481">
        <f t="shared" si="13" ref="J41:J53">I41*E41</f>
        <v>0</v>
      </c>
      <c r="K41" s="480">
        <f>+'4c - ADIT BOY'!G29</f>
        <v>0</v>
      </c>
      <c r="L41" s="481">
        <f t="shared" si="14" ref="L41:L53">E41*K41</f>
        <v>0</v>
      </c>
    </row>
    <row r="42" spans="1:12" ht="15">
      <c r="A42" s="477">
        <f t="shared" si="15" ref="A42:A54">+A41+1</f>
        <v>30</v>
      </c>
      <c r="B42" s="472" t="s">
        <v>844</v>
      </c>
      <c r="C42" s="471" t="s">
        <v>207</v>
      </c>
      <c r="D42" s="478">
        <v>2021</v>
      </c>
      <c r="E42" s="479">
        <f>335/365</f>
        <v>0.9178082191780822</v>
      </c>
      <c r="F42" s="482">
        <v>0</v>
      </c>
      <c r="G42" s="482">
        <v>0</v>
      </c>
      <c r="H42" s="481">
        <f t="shared" si="12"/>
        <v>0</v>
      </c>
      <c r="I42" s="482">
        <v>0</v>
      </c>
      <c r="J42" s="481">
        <f t="shared" si="13"/>
        <v>0</v>
      </c>
      <c r="K42" s="482">
        <v>0</v>
      </c>
      <c r="L42" s="481">
        <f t="shared" si="14"/>
        <v>0</v>
      </c>
    </row>
    <row r="43" spans="1:12" ht="15">
      <c r="A43" s="477">
        <f t="shared" si="15"/>
        <v>31</v>
      </c>
      <c r="B43" s="472" t="s">
        <v>844</v>
      </c>
      <c r="C43" s="471" t="s">
        <v>208</v>
      </c>
      <c r="D43" s="478">
        <v>2021</v>
      </c>
      <c r="E43" s="479">
        <f>307/365</f>
        <v>0.84109589041095889</v>
      </c>
      <c r="F43" s="482">
        <v>0</v>
      </c>
      <c r="G43" s="482">
        <v>0</v>
      </c>
      <c r="H43" s="481">
        <f t="shared" si="12"/>
        <v>0</v>
      </c>
      <c r="I43" s="482">
        <v>0</v>
      </c>
      <c r="J43" s="481">
        <f t="shared" si="13"/>
        <v>0</v>
      </c>
      <c r="K43" s="482">
        <v>0</v>
      </c>
      <c r="L43" s="481">
        <f t="shared" si="14"/>
        <v>0</v>
      </c>
    </row>
    <row r="44" spans="1:12" ht="15">
      <c r="A44" s="477">
        <f t="shared" si="15"/>
        <v>32</v>
      </c>
      <c r="B44" s="472" t="s">
        <v>844</v>
      </c>
      <c r="C44" s="471" t="s">
        <v>748</v>
      </c>
      <c r="D44" s="478">
        <v>2021</v>
      </c>
      <c r="E44" s="479">
        <f>276/365</f>
        <v>0.75616438356164384</v>
      </c>
      <c r="F44" s="482">
        <v>0</v>
      </c>
      <c r="G44" s="482">
        <v>0</v>
      </c>
      <c r="H44" s="481">
        <f t="shared" si="12"/>
        <v>0</v>
      </c>
      <c r="I44" s="482">
        <v>0</v>
      </c>
      <c r="J44" s="481">
        <f t="shared" si="13"/>
        <v>0</v>
      </c>
      <c r="K44" s="482">
        <v>0</v>
      </c>
      <c r="L44" s="481">
        <f t="shared" si="14"/>
        <v>0</v>
      </c>
    </row>
    <row r="45" spans="1:12" ht="15">
      <c r="A45" s="477">
        <f t="shared" si="15"/>
        <v>33</v>
      </c>
      <c r="B45" s="472" t="s">
        <v>844</v>
      </c>
      <c r="C45" s="471" t="s">
        <v>210</v>
      </c>
      <c r="D45" s="478">
        <v>2021</v>
      </c>
      <c r="E45" s="479">
        <f>246/365</f>
        <v>0.67397260273972603</v>
      </c>
      <c r="F45" s="482">
        <v>0</v>
      </c>
      <c r="G45" s="482">
        <v>0</v>
      </c>
      <c r="H45" s="481">
        <f t="shared" si="12"/>
        <v>0</v>
      </c>
      <c r="I45" s="482">
        <v>0</v>
      </c>
      <c r="J45" s="481">
        <f t="shared" si="13"/>
        <v>0</v>
      </c>
      <c r="K45" s="482">
        <v>0</v>
      </c>
      <c r="L45" s="481">
        <f t="shared" si="14"/>
        <v>0</v>
      </c>
    </row>
    <row r="46" spans="1:12" ht="15">
      <c r="A46" s="477">
        <f t="shared" si="15"/>
        <v>34</v>
      </c>
      <c r="B46" s="472" t="s">
        <v>844</v>
      </c>
      <c r="C46" s="471" t="s">
        <v>211</v>
      </c>
      <c r="D46" s="478">
        <v>2021</v>
      </c>
      <c r="E46" s="479">
        <f>215/365</f>
        <v>0.58904109589041098</v>
      </c>
      <c r="F46" s="482">
        <v>0</v>
      </c>
      <c r="G46" s="482">
        <v>0</v>
      </c>
      <c r="H46" s="481">
        <f t="shared" si="12"/>
        <v>0</v>
      </c>
      <c r="I46" s="482">
        <v>0</v>
      </c>
      <c r="J46" s="481">
        <f t="shared" si="13"/>
        <v>0</v>
      </c>
      <c r="K46" s="482">
        <v>0</v>
      </c>
      <c r="L46" s="481">
        <f t="shared" si="14"/>
        <v>0</v>
      </c>
    </row>
    <row r="47" spans="1:12" ht="15">
      <c r="A47" s="477">
        <f t="shared" si="15"/>
        <v>35</v>
      </c>
      <c r="B47" s="472" t="s">
        <v>844</v>
      </c>
      <c r="C47" s="471" t="s">
        <v>212</v>
      </c>
      <c r="D47" s="478">
        <v>2021</v>
      </c>
      <c r="E47" s="479">
        <f>185/365</f>
        <v>0.50684931506849318</v>
      </c>
      <c r="F47" s="482">
        <v>0</v>
      </c>
      <c r="G47" s="482">
        <v>0</v>
      </c>
      <c r="H47" s="481">
        <f t="shared" si="12"/>
        <v>0</v>
      </c>
      <c r="I47" s="482">
        <v>0</v>
      </c>
      <c r="J47" s="481">
        <f t="shared" si="13"/>
        <v>0</v>
      </c>
      <c r="K47" s="482">
        <v>0</v>
      </c>
      <c r="L47" s="481">
        <f t="shared" si="14"/>
        <v>0</v>
      </c>
    </row>
    <row r="48" spans="1:12" ht="15">
      <c r="A48" s="477">
        <f t="shared" si="15"/>
        <v>36</v>
      </c>
      <c r="B48" s="472" t="s">
        <v>844</v>
      </c>
      <c r="C48" s="471" t="s">
        <v>213</v>
      </c>
      <c r="D48" s="478">
        <v>2021</v>
      </c>
      <c r="E48" s="479">
        <f>154/365</f>
        <v>0.42191780821917807</v>
      </c>
      <c r="F48" s="482">
        <v>0</v>
      </c>
      <c r="G48" s="482">
        <v>0</v>
      </c>
      <c r="H48" s="481">
        <f t="shared" si="12"/>
        <v>0</v>
      </c>
      <c r="I48" s="482">
        <v>0</v>
      </c>
      <c r="J48" s="481">
        <f t="shared" si="13"/>
        <v>0</v>
      </c>
      <c r="K48" s="482">
        <v>0</v>
      </c>
      <c r="L48" s="481">
        <f t="shared" si="14"/>
        <v>0</v>
      </c>
    </row>
    <row r="49" spans="1:12" ht="15">
      <c r="A49" s="477">
        <f t="shared" si="15"/>
        <v>37</v>
      </c>
      <c r="B49" s="472" t="s">
        <v>844</v>
      </c>
      <c r="C49" s="471" t="s">
        <v>750</v>
      </c>
      <c r="D49" s="478">
        <v>2021</v>
      </c>
      <c r="E49" s="479">
        <f>123/365</f>
        <v>0.33698630136986302</v>
      </c>
      <c r="F49" s="482">
        <v>0</v>
      </c>
      <c r="G49" s="482">
        <v>0</v>
      </c>
      <c r="H49" s="481">
        <f t="shared" si="12"/>
        <v>0</v>
      </c>
      <c r="I49" s="482">
        <v>0</v>
      </c>
      <c r="J49" s="481">
        <f t="shared" si="13"/>
        <v>0</v>
      </c>
      <c r="K49" s="482">
        <v>0</v>
      </c>
      <c r="L49" s="481">
        <f t="shared" si="14"/>
        <v>0</v>
      </c>
    </row>
    <row r="50" spans="1:12" ht="15">
      <c r="A50" s="477">
        <f t="shared" si="15"/>
        <v>38</v>
      </c>
      <c r="B50" s="472" t="s">
        <v>844</v>
      </c>
      <c r="C50" s="471" t="s">
        <v>215</v>
      </c>
      <c r="D50" s="478">
        <v>2021</v>
      </c>
      <c r="E50" s="479">
        <f>93/365</f>
        <v>0.25479452054794521</v>
      </c>
      <c r="F50" s="482">
        <v>0</v>
      </c>
      <c r="G50" s="482">
        <v>0</v>
      </c>
      <c r="H50" s="481">
        <f t="shared" si="12"/>
        <v>0</v>
      </c>
      <c r="I50" s="482">
        <v>0</v>
      </c>
      <c r="J50" s="481">
        <f t="shared" si="13"/>
        <v>0</v>
      </c>
      <c r="K50" s="482">
        <v>0</v>
      </c>
      <c r="L50" s="481">
        <f t="shared" si="14"/>
        <v>0</v>
      </c>
    </row>
    <row r="51" spans="1:12" ht="15">
      <c r="A51" s="477">
        <f t="shared" si="15"/>
        <v>39</v>
      </c>
      <c r="B51" s="472" t="s">
        <v>844</v>
      </c>
      <c r="C51" s="471" t="s">
        <v>216</v>
      </c>
      <c r="D51" s="478">
        <v>2021</v>
      </c>
      <c r="E51" s="479">
        <f>62/365</f>
        <v>0.16986301369863013</v>
      </c>
      <c r="F51" s="482">
        <v>0</v>
      </c>
      <c r="G51" s="482">
        <v>0</v>
      </c>
      <c r="H51" s="481">
        <f t="shared" si="12"/>
        <v>0</v>
      </c>
      <c r="I51" s="482">
        <v>0</v>
      </c>
      <c r="J51" s="481">
        <f t="shared" si="13"/>
        <v>0</v>
      </c>
      <c r="K51" s="482">
        <v>0</v>
      </c>
      <c r="L51" s="481">
        <f t="shared" si="14"/>
        <v>0</v>
      </c>
    </row>
    <row r="52" spans="1:12" ht="15">
      <c r="A52" s="477">
        <f t="shared" si="15"/>
        <v>40</v>
      </c>
      <c r="B52" s="472" t="s">
        <v>844</v>
      </c>
      <c r="C52" s="471" t="s">
        <v>217</v>
      </c>
      <c r="D52" s="478">
        <v>2021</v>
      </c>
      <c r="E52" s="479">
        <f>32/365</f>
        <v>0.087671232876712329</v>
      </c>
      <c r="F52" s="482">
        <v>0</v>
      </c>
      <c r="G52" s="482">
        <v>0</v>
      </c>
      <c r="H52" s="481">
        <f t="shared" si="12"/>
        <v>0</v>
      </c>
      <c r="I52" s="482">
        <v>0</v>
      </c>
      <c r="J52" s="481">
        <f t="shared" si="13"/>
        <v>0</v>
      </c>
      <c r="K52" s="482">
        <v>0</v>
      </c>
      <c r="L52" s="481">
        <f t="shared" si="14"/>
        <v>0</v>
      </c>
    </row>
    <row r="53" spans="1:12" ht="15">
      <c r="A53" s="477">
        <f t="shared" si="15"/>
        <v>41</v>
      </c>
      <c r="B53" s="472" t="s">
        <v>844</v>
      </c>
      <c r="C53" s="471" t="s">
        <v>751</v>
      </c>
      <c r="D53" s="478">
        <v>2021</v>
      </c>
      <c r="E53" s="479">
        <f>1/365</f>
        <v>0.0027397260273972603</v>
      </c>
      <c r="F53" s="482">
        <v>0</v>
      </c>
      <c r="G53" s="482">
        <v>0</v>
      </c>
      <c r="H53" s="481">
        <f t="shared" si="12"/>
        <v>0</v>
      </c>
      <c r="I53" s="482">
        <v>0</v>
      </c>
      <c r="J53" s="481">
        <f t="shared" si="13"/>
        <v>0</v>
      </c>
      <c r="K53" s="482">
        <v>0</v>
      </c>
      <c r="L53" s="481">
        <f t="shared" si="14"/>
        <v>0</v>
      </c>
    </row>
    <row r="54" spans="1:12" ht="15">
      <c r="A54" s="477">
        <f t="shared" si="15"/>
        <v>42</v>
      </c>
      <c r="B54" s="472" t="s">
        <v>851</v>
      </c>
      <c r="C54" s="471"/>
      <c r="D54" s="471"/>
      <c r="E54" s="471"/>
      <c r="F54" s="481">
        <f t="shared" si="16" ref="F54:L54">SUM(F41:F53)</f>
        <v>97734</v>
      </c>
      <c r="G54" s="481">
        <f t="shared" si="16"/>
        <v>97734</v>
      </c>
      <c r="H54" s="481">
        <f t="shared" si="16"/>
        <v>97734</v>
      </c>
      <c r="I54" s="481">
        <f t="shared" si="16"/>
        <v>0</v>
      </c>
      <c r="J54" s="481">
        <f t="shared" si="16"/>
        <v>0</v>
      </c>
      <c r="K54" s="481">
        <f t="shared" si="16"/>
        <v>0</v>
      </c>
      <c r="L54" s="481">
        <f t="shared" si="16"/>
        <v>0</v>
      </c>
    </row>
    <row r="55" spans="1:12" ht="15">
      <c r="A55" s="471"/>
      <c r="B55" s="471"/>
      <c r="C55" s="471"/>
      <c r="D55" s="471"/>
      <c r="E55" s="471"/>
      <c r="F55" s="1020"/>
      <c r="G55" s="1021"/>
      <c r="H55" s="471"/>
      <c r="I55" s="471"/>
      <c r="J55" s="471"/>
      <c r="K55" s="471"/>
      <c r="L55" s="471"/>
    </row>
    <row r="56" spans="1:12" ht="15">
      <c r="A56" s="471"/>
      <c r="B56" s="471"/>
      <c r="C56" s="471"/>
      <c r="D56" s="471"/>
      <c r="E56" s="471"/>
      <c r="F56" s="1020"/>
      <c r="G56" s="1021"/>
      <c r="H56" s="1020"/>
      <c r="I56" s="1021"/>
      <c r="J56" s="471"/>
      <c r="K56" s="471"/>
      <c r="L56" s="471"/>
    </row>
    <row r="57" spans="1:12" ht="15">
      <c r="A57" s="483" t="s">
        <v>852</v>
      </c>
      <c r="B57" s="471" t="s">
        <v>853</v>
      </c>
      <c r="C57" s="471"/>
      <c r="D57" s="471"/>
      <c r="E57" s="471"/>
      <c r="F57" s="1020"/>
      <c r="G57" s="1021"/>
      <c r="H57" s="1020"/>
      <c r="I57" s="1021"/>
      <c r="J57" s="471"/>
      <c r="K57" s="471"/>
      <c r="L57" s="471"/>
    </row>
    <row r="58" spans="1:12" ht="15">
      <c r="A58" s="483" t="s">
        <v>854</v>
      </c>
      <c r="B58" s="471" t="s">
        <v>855</v>
      </c>
      <c r="C58" s="471"/>
      <c r="D58" s="484"/>
      <c r="E58" s="484"/>
      <c r="F58" s="484"/>
      <c r="G58" s="484"/>
      <c r="H58" s="1020"/>
      <c r="I58" s="1021"/>
      <c r="J58" s="471"/>
      <c r="K58" s="471"/>
      <c r="L58" s="471"/>
    </row>
    <row r="59" spans="1:12" ht="15">
      <c r="A59" s="485" t="s">
        <v>236</v>
      </c>
      <c r="B59" s="471" t="s">
        <v>856</v>
      </c>
      <c r="C59" s="471"/>
      <c r="D59" s="484"/>
      <c r="E59" s="484"/>
      <c r="F59" s="484"/>
      <c r="G59" s="484"/>
      <c r="H59" s="484"/>
      <c r="I59" s="486"/>
      <c r="J59" s="471"/>
      <c r="K59" s="471"/>
      <c r="L59" s="471"/>
    </row>
    <row r="60" spans="1:12" ht="15">
      <c r="A60" s="485" t="s">
        <v>238</v>
      </c>
      <c r="B60" s="471" t="s">
        <v>857</v>
      </c>
      <c r="C60" s="471"/>
      <c r="D60" s="484"/>
      <c r="E60" s="484"/>
      <c r="F60" s="484"/>
      <c r="G60" s="484"/>
      <c r="H60" s="484"/>
      <c r="I60" s="486"/>
      <c r="J60" s="471"/>
      <c r="K60" s="471"/>
      <c r="L60" s="471"/>
    </row>
    <row r="61" spans="1:12" ht="15">
      <c r="A61" s="485" t="s">
        <v>251</v>
      </c>
      <c r="B61" s="472" t="s">
        <v>858</v>
      </c>
      <c r="C61" s="471"/>
      <c r="D61" s="473"/>
      <c r="E61" s="473"/>
      <c r="F61" s="471"/>
      <c r="G61" s="471"/>
      <c r="H61" s="471"/>
      <c r="I61" s="471"/>
      <c r="J61" s="471"/>
      <c r="K61" s="471"/>
      <c r="L61" s="471"/>
    </row>
  </sheetData>
  <mergeCells count="3">
    <mergeCell ref="A1:L1"/>
    <mergeCell ref="A2:L2"/>
    <mergeCell ref="A3:L3"/>
  </mergeCells>
  <pageMargins left="0.25" right="0.25" top="0.75" bottom="0.75" header="0.3" footer="0.3"/>
  <pageSetup orientation="landscape" scale="55"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E017-7663-47FA-BE4E-3F1C69860082}">
  <dimension ref="A1:H85"/>
  <sheetViews>
    <sheetView view="pageBreakPreview" zoomScale="60" zoomScaleNormal="100" workbookViewId="0" topLeftCell="A1"/>
  </sheetViews>
  <sheetFormatPr defaultRowHeight="15"/>
  <cols>
    <col min="1" max="1" width="8.33333333333333" style="120" customWidth="1"/>
    <col min="2" max="2" width="66.1111111111111" style="2" customWidth="1"/>
    <col min="3" max="3" width="28.4444444444444" style="2" customWidth="1"/>
    <col min="4" max="4" width="21" style="2" customWidth="1"/>
    <col min="5" max="5" width="15.3333333333333" style="2" customWidth="1"/>
    <col min="6" max="6" width="17.8888888888889" style="2" customWidth="1"/>
    <col min="7" max="7" width="16.8888888888889" style="2" customWidth="1"/>
    <col min="8" max="8" width="99.8888888888889" style="2" customWidth="1"/>
    <col min="9" max="16384" width="9.11111111111111" style="2"/>
  </cols>
  <sheetData>
    <row r="1" spans="1:8" ht="15">
      <c r="A1" s="217"/>
      <c r="B1" s="1050" t="s">
        <v>859</v>
      </c>
      <c r="C1" s="1050"/>
      <c r="D1" s="1050"/>
      <c r="E1" s="1050"/>
      <c r="F1" s="1050"/>
      <c r="G1" s="1050"/>
      <c r="H1" s="1050"/>
    </row>
    <row r="2" spans="2:8" ht="15">
      <c r="B2" s="461"/>
      <c r="C2" s="461"/>
      <c r="D2" s="461"/>
      <c r="E2" s="461" t="s">
        <v>26</v>
      </c>
      <c r="F2" s="461"/>
      <c r="G2" s="461"/>
      <c r="H2" s="461"/>
    </row>
    <row r="3" spans="2:8" ht="15">
      <c r="B3" s="1050" t="s">
        <v>1321</v>
      </c>
      <c r="C3" s="1050"/>
      <c r="D3" s="1050"/>
      <c r="E3" s="1050"/>
      <c r="F3" s="1050"/>
      <c r="G3" s="1050"/>
      <c r="H3" s="1050"/>
    </row>
    <row r="4" spans="2:8" ht="15">
      <c r="B4" s="1051"/>
      <c r="C4" s="1050"/>
      <c r="D4" s="1050"/>
      <c r="E4" s="1050"/>
      <c r="F4" s="1050"/>
      <c r="G4" s="1050"/>
      <c r="H4" s="1052"/>
    </row>
    <row r="5" spans="2:8" ht="15">
      <c r="B5" s="462"/>
      <c r="C5" s="462"/>
      <c r="D5" s="462"/>
      <c r="E5" s="462"/>
      <c r="F5" s="462"/>
      <c r="G5" s="462"/>
      <c r="H5" s="462"/>
    </row>
    <row r="6" spans="2:8" ht="15">
      <c r="B6" s="466"/>
      <c r="C6" s="462"/>
      <c r="D6" s="461"/>
      <c r="E6" s="461"/>
      <c r="F6" s="462"/>
      <c r="G6" s="461"/>
      <c r="H6" s="462"/>
    </row>
    <row r="7" spans="2:8" ht="15">
      <c r="B7" s="466"/>
      <c r="C7" s="462"/>
      <c r="D7" s="462"/>
      <c r="E7" s="462"/>
      <c r="F7" s="462"/>
      <c r="G7" s="462"/>
      <c r="H7" s="462"/>
    </row>
    <row r="8" spans="1:8" ht="25.5">
      <c r="A8" s="249" t="s">
        <v>1</v>
      </c>
      <c r="B8" s="487" t="s">
        <v>861</v>
      </c>
      <c r="C8" s="488"/>
      <c r="D8" s="488"/>
      <c r="E8" s="489" t="s">
        <v>808</v>
      </c>
      <c r="F8" s="489" t="s">
        <v>809</v>
      </c>
      <c r="G8" s="487" t="s">
        <v>810</v>
      </c>
      <c r="H8" s="488"/>
    </row>
    <row r="9" spans="2:8" ht="15">
      <c r="B9" s="467"/>
      <c r="C9" s="462"/>
      <c r="D9" s="462"/>
      <c r="E9" s="462"/>
      <c r="F9" s="462"/>
      <c r="G9" s="462"/>
      <c r="H9" s="462"/>
    </row>
    <row r="10" spans="1:8" ht="15">
      <c r="A10" s="120">
        <v>1</v>
      </c>
      <c r="B10" s="462" t="s">
        <v>812</v>
      </c>
      <c r="C10" s="462"/>
      <c r="D10" s="462"/>
      <c r="E10" s="50">
        <f>+E55</f>
        <v>-482274.37090259668</v>
      </c>
      <c r="F10" s="5">
        <f>+F55</f>
        <v>0</v>
      </c>
      <c r="G10" s="5">
        <f>+G55</f>
        <v>0</v>
      </c>
      <c r="H10" s="462" t="s">
        <v>862</v>
      </c>
    </row>
    <row r="11" spans="1:8" ht="15">
      <c r="A11" s="120">
        <f>+A10+1</f>
        <v>2</v>
      </c>
      <c r="B11" s="462" t="s">
        <v>825</v>
      </c>
      <c r="C11" s="462"/>
      <c r="D11" s="462"/>
      <c r="E11" s="50">
        <f>+E79</f>
        <v>-2521</v>
      </c>
      <c r="F11" s="5">
        <f>+F79</f>
        <v>0</v>
      </c>
      <c r="G11" s="5">
        <f>+G79</f>
        <v>0</v>
      </c>
      <c r="H11" s="462" t="s">
        <v>863</v>
      </c>
    </row>
    <row r="12" spans="1:8" ht="15">
      <c r="A12" s="120">
        <f t="shared" si="0" ref="A12:A13">+A11+1</f>
        <v>3</v>
      </c>
      <c r="B12" s="462" t="s">
        <v>830</v>
      </c>
      <c r="C12" s="462"/>
      <c r="D12" s="462"/>
      <c r="E12" s="5">
        <f>E33</f>
        <v>97734</v>
      </c>
      <c r="F12" s="5">
        <f>F33</f>
        <v>0</v>
      </c>
      <c r="G12" s="5">
        <f>G33</f>
        <v>0</v>
      </c>
      <c r="H12" s="462" t="s">
        <v>864</v>
      </c>
    </row>
    <row r="13" spans="1:8" ht="15">
      <c r="A13" s="120">
        <f t="shared" si="0"/>
        <v>4</v>
      </c>
      <c r="B13" s="462" t="s">
        <v>865</v>
      </c>
      <c r="C13" s="462"/>
      <c r="D13" s="462"/>
      <c r="E13" s="5">
        <f>SUM(E10:E12)</f>
        <v>-387061.37090259668</v>
      </c>
      <c r="F13" s="5">
        <f>SUM(F10:F12)</f>
        <v>0</v>
      </c>
      <c r="G13" s="5">
        <f>SUM(G10:G12)</f>
        <v>0</v>
      </c>
      <c r="H13" s="490" t="s">
        <v>866</v>
      </c>
    </row>
    <row r="14" spans="2:8" ht="15">
      <c r="B14" s="462"/>
      <c r="C14" s="462"/>
      <c r="D14" s="490"/>
      <c r="E14" s="462"/>
      <c r="F14" s="462"/>
      <c r="G14" s="462"/>
      <c r="H14" s="5"/>
    </row>
    <row r="15" spans="2:8" ht="15">
      <c r="B15" s="462"/>
      <c r="C15" s="462"/>
      <c r="D15" s="462"/>
      <c r="E15" s="462"/>
      <c r="F15" s="462"/>
      <c r="G15" s="462"/>
      <c r="H15" s="469"/>
    </row>
    <row r="16" spans="2:8" ht="15">
      <c r="B16" s="1056" t="s">
        <v>867</v>
      </c>
      <c r="C16" s="1056"/>
      <c r="D16" s="1056"/>
      <c r="E16" s="1056"/>
      <c r="F16" s="1056"/>
      <c r="G16" s="1056"/>
      <c r="H16" s="1056"/>
    </row>
    <row r="17" spans="2:8" ht="15">
      <c r="B17" s="466"/>
      <c r="C17" s="462"/>
      <c r="D17" s="461"/>
      <c r="E17" s="461"/>
      <c r="F17" s="461"/>
      <c r="G17" s="461"/>
      <c r="H17" s="462"/>
    </row>
    <row r="18" spans="2:8" ht="15">
      <c r="B18" s="461" t="s">
        <v>236</v>
      </c>
      <c r="C18" s="461" t="s">
        <v>238</v>
      </c>
      <c r="D18" s="461" t="s">
        <v>251</v>
      </c>
      <c r="E18" s="461" t="s">
        <v>252</v>
      </c>
      <c r="F18" s="461" t="s">
        <v>253</v>
      </c>
      <c r="G18" s="461" t="s">
        <v>254</v>
      </c>
      <c r="H18" s="461" t="s">
        <v>255</v>
      </c>
    </row>
    <row r="19" spans="2:8" ht="25.5">
      <c r="B19" s="466" t="s">
        <v>830</v>
      </c>
      <c r="C19" s="491" t="s">
        <v>20</v>
      </c>
      <c r="D19" s="491" t="s">
        <v>868</v>
      </c>
      <c r="E19" s="491" t="s">
        <v>808</v>
      </c>
      <c r="F19" s="491" t="s">
        <v>809</v>
      </c>
      <c r="G19" s="491" t="s">
        <v>810</v>
      </c>
      <c r="H19" s="491" t="s">
        <v>869</v>
      </c>
    </row>
    <row r="20" spans="1:8" ht="15">
      <c r="A20" s="120">
        <f>+A13+1</f>
        <v>5</v>
      </c>
      <c r="B20" s="492"/>
      <c r="C20" s="493"/>
      <c r="D20" s="494"/>
      <c r="E20" s="494"/>
      <c r="F20" s="494"/>
      <c r="G20" s="494"/>
      <c r="H20" s="495"/>
    </row>
    <row r="21" spans="1:8" ht="15">
      <c r="A21" s="120">
        <f>+A20+1</f>
        <v>6</v>
      </c>
      <c r="B21" s="496"/>
      <c r="C21" s="493"/>
      <c r="D21" s="494"/>
      <c r="E21" s="494"/>
      <c r="F21" s="494"/>
      <c r="G21" s="494"/>
      <c r="H21" s="495"/>
    </row>
    <row r="22" spans="1:8" ht="15">
      <c r="A22" s="120">
        <f t="shared" si="1" ref="A22:A33">+A21+1</f>
        <v>7</v>
      </c>
      <c r="B22" s="496"/>
      <c r="C22" s="493"/>
      <c r="D22" s="494"/>
      <c r="E22" s="494"/>
      <c r="F22" s="494"/>
      <c r="G22" s="494"/>
      <c r="H22" s="495"/>
    </row>
    <row r="23" spans="1:8" ht="15">
      <c r="A23" s="120">
        <f t="shared" si="1"/>
        <v>8</v>
      </c>
      <c r="B23" s="496"/>
      <c r="C23" s="493"/>
      <c r="D23" s="494"/>
      <c r="E23" s="494"/>
      <c r="F23" s="494"/>
      <c r="G23" s="494"/>
      <c r="H23" s="495"/>
    </row>
    <row r="24" spans="1:8" ht="15">
      <c r="A24" s="120">
        <f t="shared" si="1"/>
        <v>9</v>
      </c>
      <c r="B24" s="496"/>
      <c r="C24" s="493"/>
      <c r="D24" s="494"/>
      <c r="E24" s="494"/>
      <c r="F24" s="494"/>
      <c r="G24" s="494"/>
      <c r="H24" s="495"/>
    </row>
    <row r="25" spans="1:8" ht="15">
      <c r="A25" s="120">
        <f t="shared" si="1"/>
        <v>10</v>
      </c>
      <c r="B25" s="496"/>
      <c r="C25" s="493"/>
      <c r="D25" s="494"/>
      <c r="E25" s="494"/>
      <c r="F25" s="494"/>
      <c r="G25" s="494"/>
      <c r="H25" s="495"/>
    </row>
    <row r="26" spans="1:8" ht="15">
      <c r="A26" s="120">
        <f t="shared" si="1"/>
        <v>11</v>
      </c>
      <c r="B26" s="496"/>
      <c r="C26" s="493"/>
      <c r="D26" s="494"/>
      <c r="E26" s="494"/>
      <c r="F26" s="494"/>
      <c r="G26" s="494"/>
      <c r="H26" s="495"/>
    </row>
    <row r="27" spans="1:8" ht="15">
      <c r="A27" s="120">
        <f t="shared" si="1"/>
        <v>12</v>
      </c>
      <c r="B27" s="497" t="s">
        <v>870</v>
      </c>
      <c r="C27" s="493">
        <f>E27</f>
        <v>97734</v>
      </c>
      <c r="D27" s="498"/>
      <c r="E27" s="494">
        <v>97734</v>
      </c>
      <c r="F27" s="494"/>
      <c r="G27" s="494"/>
      <c r="H27" s="495"/>
    </row>
    <row r="28" spans="1:8" ht="15">
      <c r="A28" s="120">
        <f t="shared" si="1"/>
        <v>13</v>
      </c>
      <c r="B28" s="497" t="s">
        <v>871</v>
      </c>
      <c r="C28" s="493"/>
      <c r="D28" s="494"/>
      <c r="E28" s="494"/>
      <c r="F28" s="494"/>
      <c r="G28" s="494"/>
      <c r="H28" s="495"/>
    </row>
    <row r="29" spans="1:8" ht="15">
      <c r="A29" s="120">
        <f t="shared" si="1"/>
        <v>14</v>
      </c>
      <c r="B29" s="1101" t="s">
        <v>872</v>
      </c>
      <c r="C29" s="1102"/>
      <c r="D29" s="1102"/>
      <c r="E29" s="1102"/>
      <c r="F29" s="1102"/>
      <c r="G29" s="1102"/>
      <c r="H29" s="1103"/>
    </row>
    <row r="30" spans="1:8" ht="15">
      <c r="A30" s="120">
        <f t="shared" si="1"/>
        <v>15</v>
      </c>
      <c r="B30" s="499" t="s">
        <v>873</v>
      </c>
      <c r="C30" s="500">
        <f>SUBTOTAL(9,C20:C29)</f>
        <v>97734</v>
      </c>
      <c r="D30" s="500">
        <f>SUM(D20:D29)</f>
        <v>0</v>
      </c>
      <c r="E30" s="500">
        <f>SUM(E20:E29)</f>
        <v>97734</v>
      </c>
      <c r="F30" s="500">
        <f>SUM(F20:F29)</f>
        <v>0</v>
      </c>
      <c r="G30" s="500">
        <f>SUM(G20:G29)</f>
        <v>0</v>
      </c>
      <c r="H30" s="501"/>
    </row>
    <row r="31" spans="1:8" ht="15">
      <c r="A31" s="120">
        <f t="shared" si="1"/>
        <v>16</v>
      </c>
      <c r="B31" s="502" t="s">
        <v>874</v>
      </c>
      <c r="C31" s="503"/>
      <c r="D31" s="503"/>
      <c r="E31" s="503"/>
      <c r="F31" s="504"/>
      <c r="G31" s="505"/>
      <c r="H31" s="495"/>
    </row>
    <row r="32" spans="1:8" ht="15">
      <c r="A32" s="120">
        <f t="shared" si="1"/>
        <v>17</v>
      </c>
      <c r="B32" s="506" t="s">
        <v>875</v>
      </c>
      <c r="C32" s="507"/>
      <c r="D32" s="507"/>
      <c r="E32" s="507"/>
      <c r="F32" s="507"/>
      <c r="G32" s="507"/>
      <c r="H32" s="508"/>
    </row>
    <row r="33" spans="1:8" ht="15.75" thickBot="1">
      <c r="A33" s="120">
        <f t="shared" si="1"/>
        <v>18</v>
      </c>
      <c r="B33" s="509" t="s">
        <v>20</v>
      </c>
      <c r="C33" s="510">
        <f>+C30-C31-C32</f>
        <v>97734</v>
      </c>
      <c r="D33" s="510">
        <f>+D30-D31-D32</f>
        <v>0</v>
      </c>
      <c r="E33" s="510">
        <f>+E30-E31-E32</f>
        <v>97734</v>
      </c>
      <c r="F33" s="510">
        <f>+F30-F31-F32</f>
        <v>0</v>
      </c>
      <c r="G33" s="510">
        <f>+G30-G31-G32</f>
        <v>0</v>
      </c>
      <c r="H33" s="511"/>
    </row>
    <row r="34" spans="2:8" ht="15.75" thickTop="1">
      <c r="B34" s="462" t="s">
        <v>876</v>
      </c>
      <c r="C34" s="490"/>
      <c r="D34" s="512"/>
      <c r="E34" s="461"/>
      <c r="F34" s="462"/>
      <c r="G34" s="513"/>
      <c r="H34" s="462"/>
    </row>
    <row r="35" spans="2:8" ht="15">
      <c r="B35" s="1055" t="s">
        <v>877</v>
      </c>
      <c r="C35" s="1055"/>
      <c r="D35" s="1055"/>
      <c r="E35" s="1055"/>
      <c r="F35" s="1055"/>
      <c r="G35" s="1055"/>
      <c r="H35" s="462"/>
    </row>
    <row r="36" spans="2:8" ht="15">
      <c r="B36" s="466" t="s">
        <v>878</v>
      </c>
      <c r="C36" s="462"/>
      <c r="D36" s="462"/>
      <c r="E36" s="462"/>
      <c r="F36" s="461"/>
      <c r="G36" s="461"/>
      <c r="H36" s="462"/>
    </row>
    <row r="37" spans="2:8" ht="15">
      <c r="B37" s="466" t="s">
        <v>879</v>
      </c>
      <c r="C37" s="462"/>
      <c r="D37" s="462"/>
      <c r="E37" s="462"/>
      <c r="F37" s="461"/>
      <c r="G37" s="461"/>
      <c r="H37" s="462"/>
    </row>
    <row r="38" spans="2:8" ht="15.75" customHeight="1">
      <c r="B38" s="466" t="s">
        <v>880</v>
      </c>
      <c r="C38" s="462"/>
      <c r="D38" s="462"/>
      <c r="E38" s="462"/>
      <c r="F38" s="461"/>
      <c r="G38" s="461"/>
      <c r="H38" s="462"/>
    </row>
    <row r="39" spans="2:8" ht="27" customHeight="1">
      <c r="B39" s="1055" t="s">
        <v>881</v>
      </c>
      <c r="C39" s="1055"/>
      <c r="D39" s="1055"/>
      <c r="E39" s="1055"/>
      <c r="F39" s="1055"/>
      <c r="G39" s="1055"/>
      <c r="H39" s="514"/>
    </row>
    <row r="40" spans="2:8" ht="15">
      <c r="B40" s="514"/>
      <c r="C40" s="514"/>
      <c r="D40" s="514"/>
      <c r="E40" s="514"/>
      <c r="F40" s="514"/>
      <c r="G40" s="514"/>
      <c r="H40" s="514"/>
    </row>
    <row r="41" spans="2:8" ht="15">
      <c r="B41" s="462"/>
      <c r="C41" s="462"/>
      <c r="D41" s="462"/>
      <c r="E41" s="462"/>
      <c r="F41" s="462"/>
      <c r="G41" s="462"/>
      <c r="H41" s="462"/>
    </row>
    <row r="42" spans="2:8" ht="15">
      <c r="B42" s="461" t="s">
        <v>236</v>
      </c>
      <c r="C42" s="461" t="s">
        <v>238</v>
      </c>
      <c r="D42" s="461" t="s">
        <v>251</v>
      </c>
      <c r="E42" s="461" t="s">
        <v>252</v>
      </c>
      <c r="F42" s="461" t="s">
        <v>253</v>
      </c>
      <c r="G42" s="461" t="s">
        <v>254</v>
      </c>
      <c r="H42" s="461" t="s">
        <v>255</v>
      </c>
    </row>
    <row r="43" spans="2:8" ht="25.5">
      <c r="B43" s="462" t="s">
        <v>882</v>
      </c>
      <c r="C43" s="491" t="s">
        <v>20</v>
      </c>
      <c r="D43" s="491" t="s">
        <v>868</v>
      </c>
      <c r="E43" s="491" t="s">
        <v>808</v>
      </c>
      <c r="F43" s="491" t="s">
        <v>809</v>
      </c>
      <c r="G43" s="491" t="s">
        <v>810</v>
      </c>
      <c r="H43" s="491" t="s">
        <v>869</v>
      </c>
    </row>
    <row r="44" spans="1:8" ht="15">
      <c r="A44" s="120">
        <f>+A33+1</f>
        <v>19</v>
      </c>
      <c r="B44" s="496"/>
      <c r="C44" s="493"/>
      <c r="D44" s="494"/>
      <c r="E44" s="494"/>
      <c r="F44" s="494"/>
      <c r="G44" s="494"/>
      <c r="H44" s="495"/>
    </row>
    <row r="45" spans="1:8" ht="15">
      <c r="A45" s="120">
        <f>+A44+1</f>
        <v>20</v>
      </c>
      <c r="B45" s="496"/>
      <c r="C45" s="493"/>
      <c r="D45" s="494"/>
      <c r="E45" s="494"/>
      <c r="F45" s="494"/>
      <c r="G45" s="494"/>
      <c r="H45" s="495"/>
    </row>
    <row r="46" spans="1:8" ht="15">
      <c r="A46" s="120">
        <f t="shared" si="2" ref="A46:A55">+A45+1</f>
        <v>21</v>
      </c>
      <c r="B46" s="496"/>
      <c r="C46" s="493"/>
      <c r="D46" s="494"/>
      <c r="E46" s="494"/>
      <c r="F46" s="494"/>
      <c r="G46" s="494"/>
      <c r="H46" s="495"/>
    </row>
    <row r="47" spans="1:8" ht="15">
      <c r="A47" s="120">
        <f t="shared" si="2"/>
        <v>22</v>
      </c>
      <c r="B47" s="496"/>
      <c r="C47" s="494"/>
      <c r="D47" s="494"/>
      <c r="E47" s="494"/>
      <c r="F47" s="494"/>
      <c r="G47" s="494"/>
      <c r="H47" s="495"/>
    </row>
    <row r="48" spans="1:8" ht="15">
      <c r="A48" s="120">
        <f t="shared" si="2"/>
        <v>23</v>
      </c>
      <c r="B48" s="496"/>
      <c r="C48" s="494"/>
      <c r="D48" s="494"/>
      <c r="E48" s="494"/>
      <c r="F48" s="494"/>
      <c r="G48" s="494"/>
      <c r="H48" s="495"/>
    </row>
    <row r="49" spans="1:8" ht="15">
      <c r="A49" s="120">
        <f t="shared" si="2"/>
        <v>24</v>
      </c>
      <c r="B49" s="497" t="s">
        <v>870</v>
      </c>
      <c r="C49" s="515">
        <f>E49</f>
        <v>-108549</v>
      </c>
      <c r="D49" s="515"/>
      <c r="E49" s="515">
        <v>-108549</v>
      </c>
      <c r="F49" s="515"/>
      <c r="G49" s="515"/>
      <c r="H49" s="495"/>
    </row>
    <row r="50" spans="1:8" ht="15">
      <c r="A50" s="120">
        <f t="shared" si="2"/>
        <v>25</v>
      </c>
      <c r="B50" s="497" t="s">
        <v>871</v>
      </c>
      <c r="C50" s="515"/>
      <c r="D50" s="515"/>
      <c r="E50" s="515"/>
      <c r="F50" s="515"/>
      <c r="G50" s="515"/>
      <c r="H50" s="495"/>
    </row>
    <row r="51" spans="1:8" ht="15">
      <c r="A51" s="120">
        <f t="shared" si="2"/>
        <v>26</v>
      </c>
      <c r="B51" s="1104" t="s">
        <v>872</v>
      </c>
      <c r="C51" s="1105">
        <f>E51</f>
        <v>-373725.37090259668</v>
      </c>
      <c r="D51" s="1105"/>
      <c r="E51" s="1105">
        <v>-373725.37090259668</v>
      </c>
      <c r="F51" s="1105"/>
      <c r="G51" s="1105"/>
      <c r="H51" s="1103"/>
    </row>
    <row r="52" spans="1:8" ht="15">
      <c r="A52" s="120">
        <f t="shared" si="2"/>
        <v>27</v>
      </c>
      <c r="B52" s="516" t="s">
        <v>883</v>
      </c>
      <c r="C52" s="500">
        <f>SUBTOTAL(9,C44:C51)</f>
        <v>-482274.37090259668</v>
      </c>
      <c r="D52" s="500">
        <f>SUM(D44:D51)</f>
        <v>0</v>
      </c>
      <c r="E52" s="500">
        <f>SUM(E44:E51)</f>
        <v>-482274.37090259668</v>
      </c>
      <c r="F52" s="500">
        <f>SUM(F44:F51)</f>
        <v>0</v>
      </c>
      <c r="G52" s="500">
        <f>SUM(G44:G51)</f>
        <v>0</v>
      </c>
      <c r="H52" s="501"/>
    </row>
    <row r="53" spans="1:8" ht="15">
      <c r="A53" s="120">
        <f t="shared" si="2"/>
        <v>28</v>
      </c>
      <c r="B53" s="516" t="s">
        <v>874</v>
      </c>
      <c r="C53" s="503">
        <f>E53</f>
        <v>0</v>
      </c>
      <c r="D53" s="503"/>
      <c r="E53" s="503">
        <v>0</v>
      </c>
      <c r="F53" s="503"/>
      <c r="G53" s="503"/>
      <c r="H53" s="495"/>
    </row>
    <row r="54" spans="1:8" ht="15">
      <c r="A54" s="120">
        <f t="shared" si="2"/>
        <v>29</v>
      </c>
      <c r="B54" s="517" t="s">
        <v>875</v>
      </c>
      <c r="C54" s="507"/>
      <c r="D54" s="507"/>
      <c r="E54" s="507"/>
      <c r="F54" s="507"/>
      <c r="G54" s="507"/>
      <c r="H54" s="508"/>
    </row>
    <row r="55" spans="1:8" ht="15.75" thickBot="1">
      <c r="A55" s="120">
        <f t="shared" si="2"/>
        <v>30</v>
      </c>
      <c r="B55" s="509" t="s">
        <v>20</v>
      </c>
      <c r="C55" s="510">
        <f>+C52-C53-C54</f>
        <v>-482274.37090259668</v>
      </c>
      <c r="D55" s="510">
        <f>+D52-D53-D54</f>
        <v>0</v>
      </c>
      <c r="E55" s="510">
        <f>+E52-E53-E54</f>
        <v>-482274.37090259668</v>
      </c>
      <c r="F55" s="510">
        <f>+F52-F53-F54</f>
        <v>0</v>
      </c>
      <c r="G55" s="510">
        <f>+G52-G53-G54</f>
        <v>0</v>
      </c>
      <c r="H55" s="511"/>
    </row>
    <row r="56" spans="2:8" ht="15.75" thickTop="1">
      <c r="B56" s="462" t="s">
        <v>884</v>
      </c>
      <c r="C56" s="462"/>
      <c r="D56" s="461"/>
      <c r="E56" s="512"/>
      <c r="F56" s="462"/>
      <c r="G56" s="514"/>
      <c r="H56" s="462"/>
    </row>
    <row r="57" spans="2:8" ht="15">
      <c r="B57" s="1055" t="s">
        <v>877</v>
      </c>
      <c r="C57" s="1055"/>
      <c r="D57" s="1055"/>
      <c r="E57" s="1055"/>
      <c r="F57" s="1055"/>
      <c r="G57" s="1055"/>
      <c r="H57" s="462"/>
    </row>
    <row r="58" spans="2:8" ht="15">
      <c r="B58" s="466" t="s">
        <v>878</v>
      </c>
      <c r="C58" s="462"/>
      <c r="D58" s="462"/>
      <c r="E58" s="462"/>
      <c r="F58" s="461"/>
      <c r="G58" s="461"/>
      <c r="H58" s="462"/>
    </row>
    <row r="59" spans="2:8" ht="15">
      <c r="B59" s="466" t="s">
        <v>879</v>
      </c>
      <c r="C59" s="462"/>
      <c r="D59" s="462"/>
      <c r="E59" s="462"/>
      <c r="F59" s="461"/>
      <c r="G59" s="461"/>
      <c r="H59" s="462"/>
    </row>
    <row r="60" spans="2:8" ht="15">
      <c r="B60" s="466" t="s">
        <v>880</v>
      </c>
      <c r="C60" s="462"/>
      <c r="D60" s="462"/>
      <c r="E60" s="462"/>
      <c r="F60" s="461"/>
      <c r="G60" s="461"/>
      <c r="H60" s="462"/>
    </row>
    <row r="61" spans="2:8" ht="29.25" customHeight="1">
      <c r="B61" s="1055" t="s">
        <v>881</v>
      </c>
      <c r="C61" s="1055"/>
      <c r="D61" s="1055"/>
      <c r="E61" s="1055"/>
      <c r="F61" s="1055"/>
      <c r="G61" s="1055"/>
      <c r="H61" s="514"/>
    </row>
    <row r="62" spans="2:8" ht="15">
      <c r="B62" s="466"/>
      <c r="C62" s="462"/>
      <c r="D62" s="462"/>
      <c r="E62" s="462"/>
      <c r="F62" s="462"/>
      <c r="G62" s="462"/>
      <c r="H62" s="514"/>
    </row>
    <row r="63" spans="2:8" ht="15">
      <c r="B63" s="466"/>
      <c r="C63" s="462"/>
      <c r="D63" s="462"/>
      <c r="E63" s="462"/>
      <c r="F63" s="462"/>
      <c r="G63" s="462"/>
      <c r="H63" s="514"/>
    </row>
    <row r="64" spans="2:8" ht="15">
      <c r="B64" s="461" t="s">
        <v>236</v>
      </c>
      <c r="C64" s="461" t="s">
        <v>238</v>
      </c>
      <c r="D64" s="461" t="s">
        <v>251</v>
      </c>
      <c r="E64" s="461" t="s">
        <v>252</v>
      </c>
      <c r="F64" s="461" t="s">
        <v>253</v>
      </c>
      <c r="G64" s="461" t="s">
        <v>254</v>
      </c>
      <c r="H64" s="461" t="s">
        <v>255</v>
      </c>
    </row>
    <row r="65" spans="2:8" ht="25.5">
      <c r="B65" s="462" t="s">
        <v>885</v>
      </c>
      <c r="C65" s="491" t="s">
        <v>20</v>
      </c>
      <c r="D65" s="491" t="s">
        <v>868</v>
      </c>
      <c r="E65" s="491" t="s">
        <v>808</v>
      </c>
      <c r="F65" s="491" t="s">
        <v>809</v>
      </c>
      <c r="G65" s="491" t="s">
        <v>810</v>
      </c>
      <c r="H65" s="491" t="s">
        <v>869</v>
      </c>
    </row>
    <row r="66" spans="1:8" ht="15">
      <c r="A66" s="120">
        <f>+A55+1</f>
        <v>31</v>
      </c>
      <c r="B66" s="518"/>
      <c r="C66" s="493"/>
      <c r="D66" s="494"/>
      <c r="E66" s="494"/>
      <c r="F66" s="494"/>
      <c r="G66" s="494"/>
      <c r="H66" s="495"/>
    </row>
    <row r="67" spans="1:8" ht="15">
      <c r="A67" s="120">
        <f>+A66+1</f>
        <v>32</v>
      </c>
      <c r="B67" s="496"/>
      <c r="C67" s="493"/>
      <c r="D67" s="494"/>
      <c r="E67" s="494"/>
      <c r="F67" s="494"/>
      <c r="G67" s="494"/>
      <c r="H67" s="495"/>
    </row>
    <row r="68" spans="1:8" ht="15">
      <c r="A68" s="120">
        <f t="shared" si="3" ref="A68:A79">+A67+1</f>
        <v>33</v>
      </c>
      <c r="B68" s="496"/>
      <c r="C68" s="493"/>
      <c r="D68" s="494"/>
      <c r="E68" s="494"/>
      <c r="F68" s="494"/>
      <c r="G68" s="494"/>
      <c r="H68" s="495"/>
    </row>
    <row r="69" spans="1:8" ht="15">
      <c r="A69" s="120">
        <f t="shared" si="3"/>
        <v>34</v>
      </c>
      <c r="B69" s="496"/>
      <c r="C69" s="493"/>
      <c r="D69" s="494"/>
      <c r="E69" s="494"/>
      <c r="F69" s="494"/>
      <c r="G69" s="494"/>
      <c r="H69" s="495"/>
    </row>
    <row r="70" spans="1:8" ht="15">
      <c r="A70" s="120">
        <f t="shared" si="3"/>
        <v>35</v>
      </c>
      <c r="B70" s="496"/>
      <c r="C70" s="494"/>
      <c r="D70" s="515"/>
      <c r="E70" s="494"/>
      <c r="F70" s="494"/>
      <c r="G70" s="494"/>
      <c r="H70" s="495"/>
    </row>
    <row r="71" spans="1:8" ht="15">
      <c r="A71" s="120">
        <f t="shared" si="3"/>
        <v>36</v>
      </c>
      <c r="B71" s="496"/>
      <c r="C71" s="494"/>
      <c r="D71" s="515"/>
      <c r="E71" s="494"/>
      <c r="F71" s="494"/>
      <c r="G71" s="494"/>
      <c r="H71" s="495"/>
    </row>
    <row r="72" spans="1:8" ht="15">
      <c r="A72" s="120">
        <f t="shared" si="3"/>
        <v>37</v>
      </c>
      <c r="B72" s="496"/>
      <c r="C72" s="494"/>
      <c r="D72" s="515"/>
      <c r="E72" s="494"/>
      <c r="F72" s="494"/>
      <c r="G72" s="494"/>
      <c r="H72" s="495"/>
    </row>
    <row r="73" spans="1:8" ht="15">
      <c r="A73" s="120">
        <f t="shared" si="3"/>
        <v>38</v>
      </c>
      <c r="B73" s="497" t="s">
        <v>870</v>
      </c>
      <c r="C73" s="494"/>
      <c r="D73" s="498"/>
      <c r="E73" s="494"/>
      <c r="F73" s="494"/>
      <c r="G73" s="494"/>
      <c r="H73" s="495"/>
    </row>
    <row r="74" spans="1:8" ht="15">
      <c r="A74" s="120">
        <f t="shared" si="3"/>
        <v>39</v>
      </c>
      <c r="B74" s="497" t="s">
        <v>871</v>
      </c>
      <c r="C74" s="494">
        <f>E74</f>
        <v>-1230</v>
      </c>
      <c r="D74" s="494"/>
      <c r="E74" s="494">
        <v>-1230</v>
      </c>
      <c r="F74" s="494"/>
      <c r="G74" s="494"/>
      <c r="H74" s="495"/>
    </row>
    <row r="75" spans="1:8" ht="15">
      <c r="A75" s="120">
        <f t="shared" si="3"/>
        <v>40</v>
      </c>
      <c r="B75" s="1101" t="s">
        <v>872</v>
      </c>
      <c r="C75" s="1106">
        <f>E75</f>
        <v>-1291</v>
      </c>
      <c r="D75" s="1106"/>
      <c r="E75" s="1106">
        <v>-1291</v>
      </c>
      <c r="F75" s="1106"/>
      <c r="G75" s="1106"/>
      <c r="H75" s="1103"/>
    </row>
    <row r="76" spans="1:8" ht="15">
      <c r="A76" s="120">
        <f t="shared" si="3"/>
        <v>41</v>
      </c>
      <c r="B76" s="499" t="s">
        <v>886</v>
      </c>
      <c r="C76" s="500">
        <f>SUBTOTAL(9,C66:C75)</f>
        <v>-2521</v>
      </c>
      <c r="D76" s="500">
        <f>SUM(D66:D75)</f>
        <v>0</v>
      </c>
      <c r="E76" s="500">
        <f>SUM(E66:E75)</f>
        <v>-2521</v>
      </c>
      <c r="F76" s="500">
        <f>SUM(F66:F75)</f>
        <v>0</v>
      </c>
      <c r="G76" s="500">
        <f>SUM(G66:G75)</f>
        <v>0</v>
      </c>
      <c r="H76" s="495"/>
    </row>
    <row r="77" spans="1:8" ht="15">
      <c r="A77" s="120">
        <f t="shared" si="3"/>
        <v>42</v>
      </c>
      <c r="B77" s="499" t="s">
        <v>874</v>
      </c>
      <c r="C77" s="504"/>
      <c r="D77" s="504"/>
      <c r="E77" s="504"/>
      <c r="F77" s="504"/>
      <c r="G77" s="504"/>
      <c r="H77" s="495"/>
    </row>
    <row r="78" spans="1:8" ht="15">
      <c r="A78" s="120">
        <f t="shared" si="3"/>
        <v>43</v>
      </c>
      <c r="B78" s="519" t="s">
        <v>875</v>
      </c>
      <c r="C78" s="520"/>
      <c r="D78" s="520"/>
      <c r="E78" s="520"/>
      <c r="F78" s="520"/>
      <c r="G78" s="520"/>
      <c r="H78" s="508"/>
    </row>
    <row r="79" spans="1:8" ht="15.75" thickBot="1">
      <c r="A79" s="120">
        <f t="shared" si="3"/>
        <v>44</v>
      </c>
      <c r="B79" s="509" t="s">
        <v>20</v>
      </c>
      <c r="C79" s="521">
        <f>+C76-C77-C78</f>
        <v>-2521</v>
      </c>
      <c r="D79" s="521">
        <f>+D76-D77-D78</f>
        <v>0</v>
      </c>
      <c r="E79" s="521">
        <f>+E76-E77-E78</f>
        <v>-2521</v>
      </c>
      <c r="F79" s="521">
        <f>+F76-F77-F78</f>
        <v>0</v>
      </c>
      <c r="G79" s="521">
        <f>+G76-G77-G78</f>
        <v>0</v>
      </c>
      <c r="H79" s="511"/>
    </row>
    <row r="80" spans="2:8" ht="15.75" thickTop="1">
      <c r="B80" s="462" t="s">
        <v>887</v>
      </c>
      <c r="C80" s="462"/>
      <c r="D80" s="462"/>
      <c r="E80" s="461"/>
      <c r="F80" s="461"/>
      <c r="G80" s="462"/>
      <c r="H80" s="522"/>
    </row>
    <row r="81" spans="2:8" ht="15">
      <c r="B81" s="1055" t="s">
        <v>877</v>
      </c>
      <c r="C81" s="1055"/>
      <c r="D81" s="1055"/>
      <c r="E81" s="1055"/>
      <c r="F81" s="1055"/>
      <c r="G81" s="1055"/>
      <c r="H81" s="462"/>
    </row>
    <row r="82" spans="2:8" ht="15">
      <c r="B82" s="466" t="s">
        <v>878</v>
      </c>
      <c r="C82" s="462"/>
      <c r="D82" s="462"/>
      <c r="E82" s="462"/>
      <c r="F82" s="461"/>
      <c r="G82" s="461"/>
      <c r="H82" s="462"/>
    </row>
    <row r="83" spans="2:8" ht="15">
      <c r="B83" s="466" t="s">
        <v>879</v>
      </c>
      <c r="C83" s="462"/>
      <c r="D83" s="462"/>
      <c r="E83" s="462"/>
      <c r="F83" s="461"/>
      <c r="G83" s="461"/>
      <c r="H83" s="462"/>
    </row>
    <row r="84" spans="2:8" ht="15" customHeight="1">
      <c r="B84" s="466" t="s">
        <v>880</v>
      </c>
      <c r="C84" s="462"/>
      <c r="D84" s="462"/>
      <c r="E84" s="462"/>
      <c r="F84" s="461"/>
      <c r="G84" s="461"/>
      <c r="H84" s="462"/>
    </row>
    <row r="85" spans="2:8" ht="26.25" customHeight="1">
      <c r="B85" s="1055" t="s">
        <v>881</v>
      </c>
      <c r="C85" s="1055"/>
      <c r="D85" s="1055"/>
      <c r="E85" s="1055"/>
      <c r="F85" s="1055"/>
      <c r="G85" s="1055"/>
      <c r="H85" s="462"/>
    </row>
  </sheetData>
  <mergeCells count="10">
    <mergeCell ref="B57:G57"/>
    <mergeCell ref="B61:G61"/>
    <mergeCell ref="B81:G81"/>
    <mergeCell ref="B85:G85"/>
    <mergeCell ref="B1:H1"/>
    <mergeCell ref="B3:H3"/>
    <mergeCell ref="B4:H4"/>
    <mergeCell ref="B16:H16"/>
    <mergeCell ref="B35:G35"/>
    <mergeCell ref="B39:G39"/>
  </mergeCells>
  <pageMargins left="0.25" right="0.25" top="0.75" bottom="0.75" header="0.3" footer="0.3"/>
  <pageSetup orientation="landscape" scale="49" r:id="rId1"/>
  <rowBreaks count="1" manualBreakCount="1">
    <brk id="40"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D911-C300-4610-B076-250C3928B01A}">
  <dimension ref="A1:H85"/>
  <sheetViews>
    <sheetView view="pageBreakPreview" zoomScale="60" zoomScaleNormal="85" workbookViewId="0" topLeftCell="A1"/>
  </sheetViews>
  <sheetFormatPr defaultRowHeight="15"/>
  <cols>
    <col min="1" max="1" width="9.11111111111111" style="2" customWidth="1"/>
    <col min="2" max="2" width="63.4444444444444" style="2" customWidth="1"/>
    <col min="3" max="3" width="28.4444444444444" style="2" customWidth="1"/>
    <col min="4" max="4" width="19.4444444444444" style="2" customWidth="1"/>
    <col min="5" max="5" width="16.1111111111111" style="2" customWidth="1"/>
    <col min="6" max="6" width="14.8888888888889" style="2" customWidth="1"/>
    <col min="7" max="7" width="19.1111111111111" style="2" customWidth="1"/>
    <col min="8" max="8" width="102.111111111111" style="2" customWidth="1"/>
    <col min="9" max="16384" width="9.11111111111111" style="2"/>
  </cols>
  <sheetData>
    <row r="1" spans="2:8" ht="15">
      <c r="B1" s="1050" t="s">
        <v>888</v>
      </c>
      <c r="C1" s="1050"/>
      <c r="D1" s="1050"/>
      <c r="E1" s="1050"/>
      <c r="F1" s="1050"/>
      <c r="G1" s="1050"/>
      <c r="H1" s="1050"/>
    </row>
    <row r="2" spans="2:8" ht="15">
      <c r="B2" s="461"/>
      <c r="C2" s="461"/>
      <c r="D2" s="461"/>
      <c r="E2" s="461" t="s">
        <v>26</v>
      </c>
      <c r="F2" s="461"/>
      <c r="G2" s="461"/>
      <c r="H2" s="461"/>
    </row>
    <row r="3" spans="2:8" ht="15">
      <c r="B3" s="1050" t="s">
        <v>1321</v>
      </c>
      <c r="C3" s="1057"/>
      <c r="D3" s="1057"/>
      <c r="E3" s="1057"/>
      <c r="F3" s="1057"/>
      <c r="G3" s="1057"/>
      <c r="H3" s="1057"/>
    </row>
    <row r="4" spans="2:8" ht="15">
      <c r="B4" s="1051"/>
      <c r="C4" s="1050"/>
      <c r="D4" s="1050"/>
      <c r="E4" s="1050"/>
      <c r="F4" s="1050"/>
      <c r="G4" s="1050"/>
      <c r="H4" s="1052"/>
    </row>
    <row r="5" spans="2:8" ht="15">
      <c r="B5" s="466"/>
      <c r="C5" s="462"/>
      <c r="D5" s="462"/>
      <c r="E5" s="462"/>
      <c r="F5" s="462"/>
      <c r="G5" s="462"/>
      <c r="H5" s="462"/>
    </row>
    <row r="6" spans="2:8" ht="15">
      <c r="B6" s="466"/>
      <c r="C6" s="462"/>
      <c r="D6" s="461"/>
      <c r="E6" s="461"/>
      <c r="F6" s="462"/>
      <c r="G6" s="461"/>
      <c r="H6" s="462"/>
    </row>
    <row r="7" spans="2:8" ht="15">
      <c r="B7" s="466"/>
      <c r="C7" s="462"/>
      <c r="D7" s="461"/>
      <c r="E7" s="461"/>
      <c r="F7" s="461"/>
      <c r="G7" s="461"/>
      <c r="H7" s="462"/>
    </row>
    <row r="8" spans="1:8" ht="25.5">
      <c r="A8" s="249" t="s">
        <v>1</v>
      </c>
      <c r="B8" s="487" t="s">
        <v>861</v>
      </c>
      <c r="C8" s="488"/>
      <c r="D8" s="488"/>
      <c r="E8" s="489" t="s">
        <v>808</v>
      </c>
      <c r="F8" s="489" t="s">
        <v>809</v>
      </c>
      <c r="G8" s="489" t="s">
        <v>810</v>
      </c>
      <c r="H8" s="488"/>
    </row>
    <row r="9" spans="1:8" ht="15">
      <c r="A9" s="120"/>
      <c r="B9" s="466"/>
      <c r="C9" s="462"/>
      <c r="D9" s="462"/>
      <c r="E9" s="462"/>
      <c r="F9" s="462"/>
      <c r="G9" s="462"/>
      <c r="H9" s="462"/>
    </row>
    <row r="10" spans="1:8" ht="15">
      <c r="A10" s="120">
        <v>1</v>
      </c>
      <c r="B10" s="462" t="s">
        <v>882</v>
      </c>
      <c r="C10" s="462"/>
      <c r="D10" s="462"/>
      <c r="E10" s="113">
        <f>+E55</f>
        <v>-546154.23342209752</v>
      </c>
      <c r="F10" s="25">
        <f>+F55</f>
        <v>0</v>
      </c>
      <c r="G10" s="25">
        <f>+G55</f>
        <v>0</v>
      </c>
      <c r="H10" s="462" t="s">
        <v>862</v>
      </c>
    </row>
    <row r="11" spans="1:8" ht="15">
      <c r="A11" s="120">
        <f>+A10+1</f>
        <v>2</v>
      </c>
      <c r="B11" s="462" t="s">
        <v>825</v>
      </c>
      <c r="C11" s="462"/>
      <c r="D11" s="462"/>
      <c r="E11" s="113">
        <f>+E79</f>
        <v>-1290.6020324653189</v>
      </c>
      <c r="F11" s="25">
        <f>+F79</f>
        <v>0</v>
      </c>
      <c r="G11" s="25">
        <f>+G79</f>
        <v>0</v>
      </c>
      <c r="H11" s="462" t="s">
        <v>863</v>
      </c>
    </row>
    <row r="12" spans="1:8" ht="15">
      <c r="A12" s="120">
        <f t="shared" si="0" ref="A12:A13">+A11+1</f>
        <v>3</v>
      </c>
      <c r="B12" s="462" t="s">
        <v>830</v>
      </c>
      <c r="C12" s="462"/>
      <c r="D12" s="462"/>
      <c r="E12" s="113">
        <f>E33</f>
        <v>97734</v>
      </c>
      <c r="F12" s="25">
        <f>F33</f>
        <v>0</v>
      </c>
      <c r="G12" s="25">
        <f>G33</f>
        <v>0</v>
      </c>
      <c r="H12" s="462" t="s">
        <v>864</v>
      </c>
    </row>
    <row r="13" spans="1:8" ht="15">
      <c r="A13" s="120">
        <f t="shared" si="0"/>
        <v>4</v>
      </c>
      <c r="B13" s="462" t="s">
        <v>865</v>
      </c>
      <c r="C13" s="462"/>
      <c r="D13" s="462"/>
      <c r="E13" s="25">
        <f>SUM(E10:E12)</f>
        <v>-449710.8354545628</v>
      </c>
      <c r="F13" s="25">
        <f>SUM(F10:F12)</f>
        <v>0</v>
      </c>
      <c r="G13" s="25">
        <f>SUM(G10:G12)</f>
        <v>0</v>
      </c>
      <c r="H13" s="490" t="s">
        <v>866</v>
      </c>
    </row>
    <row r="14" spans="1:8" ht="15">
      <c r="A14" s="120"/>
      <c r="B14" s="462"/>
      <c r="C14" s="462"/>
      <c r="D14" s="490"/>
      <c r="E14" s="462"/>
      <c r="F14" s="462"/>
      <c r="G14" s="462"/>
      <c r="H14" s="5"/>
    </row>
    <row r="15" spans="1:8" ht="15">
      <c r="A15" s="120"/>
      <c r="B15" s="462"/>
      <c r="C15" s="462"/>
      <c r="D15" s="462"/>
      <c r="E15" s="462"/>
      <c r="F15" s="462"/>
      <c r="G15" s="462"/>
      <c r="H15" s="469"/>
    </row>
    <row r="16" spans="1:8" ht="15">
      <c r="A16" s="120"/>
      <c r="B16" s="1056" t="s">
        <v>889</v>
      </c>
      <c r="C16" s="1056"/>
      <c r="D16" s="1056"/>
      <c r="E16" s="1056"/>
      <c r="F16" s="1056"/>
      <c r="G16" s="1056"/>
      <c r="H16" s="1056"/>
    </row>
    <row r="17" spans="1:8" ht="15">
      <c r="A17" s="120"/>
      <c r="B17" s="466"/>
      <c r="C17" s="462"/>
      <c r="D17" s="462"/>
      <c r="E17" s="462"/>
      <c r="F17" s="462"/>
      <c r="G17" s="462"/>
      <c r="H17" s="462"/>
    </row>
    <row r="18" spans="1:8" ht="15">
      <c r="A18" s="120"/>
      <c r="B18" s="461" t="s">
        <v>236</v>
      </c>
      <c r="C18" s="461" t="s">
        <v>238</v>
      </c>
      <c r="D18" s="461" t="s">
        <v>251</v>
      </c>
      <c r="E18" s="461" t="s">
        <v>252</v>
      </c>
      <c r="F18" s="461" t="s">
        <v>253</v>
      </c>
      <c r="G18" s="461" t="s">
        <v>254</v>
      </c>
      <c r="H18" s="461" t="s">
        <v>255</v>
      </c>
    </row>
    <row r="19" spans="1:8" ht="25.5">
      <c r="A19" s="120"/>
      <c r="B19" s="466" t="s">
        <v>830</v>
      </c>
      <c r="C19" s="491" t="s">
        <v>20</v>
      </c>
      <c r="D19" s="491" t="s">
        <v>868</v>
      </c>
      <c r="E19" s="491" t="s">
        <v>808</v>
      </c>
      <c r="F19" s="491" t="s">
        <v>809</v>
      </c>
      <c r="G19" s="491" t="s">
        <v>810</v>
      </c>
      <c r="H19" s="491" t="s">
        <v>869</v>
      </c>
    </row>
    <row r="20" spans="1:8" ht="15">
      <c r="A20" s="120">
        <f>+A13+1</f>
        <v>5</v>
      </c>
      <c r="B20" s="492"/>
      <c r="C20" s="493"/>
      <c r="D20" s="494"/>
      <c r="E20" s="494"/>
      <c r="F20" s="494"/>
      <c r="G20" s="494"/>
      <c r="H20" s="495"/>
    </row>
    <row r="21" spans="1:8" ht="15">
      <c r="A21" s="120">
        <f>+A20+1</f>
        <v>6</v>
      </c>
      <c r="B21" s="496"/>
      <c r="C21" s="493"/>
      <c r="D21" s="494"/>
      <c r="E21" s="494"/>
      <c r="F21" s="494"/>
      <c r="G21" s="494"/>
      <c r="H21" s="495"/>
    </row>
    <row r="22" spans="1:8" ht="15">
      <c r="A22" s="120">
        <f t="shared" si="1" ref="A22:A33">+A21+1</f>
        <v>7</v>
      </c>
      <c r="B22" s="496"/>
      <c r="C22" s="493"/>
      <c r="D22" s="494"/>
      <c r="E22" s="494"/>
      <c r="F22" s="494"/>
      <c r="G22" s="494"/>
      <c r="H22" s="495"/>
    </row>
    <row r="23" spans="1:8" ht="15">
      <c r="A23" s="120">
        <f t="shared" si="1"/>
        <v>8</v>
      </c>
      <c r="B23" s="496"/>
      <c r="C23" s="493"/>
      <c r="D23" s="494"/>
      <c r="E23" s="494"/>
      <c r="F23" s="494"/>
      <c r="G23" s="494"/>
      <c r="H23" s="495"/>
    </row>
    <row r="24" spans="1:8" ht="15">
      <c r="A24" s="120">
        <f t="shared" si="1"/>
        <v>9</v>
      </c>
      <c r="B24" s="496"/>
      <c r="C24" s="493"/>
      <c r="D24" s="494"/>
      <c r="E24" s="494"/>
      <c r="F24" s="494"/>
      <c r="G24" s="494"/>
      <c r="H24" s="495"/>
    </row>
    <row r="25" spans="1:8" ht="15">
      <c r="A25" s="120">
        <f t="shared" si="1"/>
        <v>10</v>
      </c>
      <c r="B25" s="496"/>
      <c r="C25" s="493"/>
      <c r="D25" s="494"/>
      <c r="E25" s="494"/>
      <c r="F25" s="494"/>
      <c r="G25" s="494"/>
      <c r="H25" s="495"/>
    </row>
    <row r="26" spans="1:8" ht="15">
      <c r="A26" s="120">
        <f t="shared" si="1"/>
        <v>11</v>
      </c>
      <c r="B26" s="496"/>
      <c r="C26" s="493"/>
      <c r="D26" s="494"/>
      <c r="E26" s="494"/>
      <c r="F26" s="494"/>
      <c r="G26" s="494"/>
      <c r="H26" s="495"/>
    </row>
    <row r="27" spans="1:8" ht="15">
      <c r="A27" s="120">
        <f t="shared" si="1"/>
        <v>12</v>
      </c>
      <c r="B27" s="497" t="s">
        <v>870</v>
      </c>
      <c r="C27" s="493">
        <f>E27</f>
        <v>97734</v>
      </c>
      <c r="D27" s="498"/>
      <c r="E27" s="494">
        <v>97734</v>
      </c>
      <c r="F27" s="494"/>
      <c r="G27" s="494"/>
      <c r="H27" s="495"/>
    </row>
    <row r="28" spans="1:8" ht="15">
      <c r="A28" s="120">
        <f t="shared" si="1"/>
        <v>13</v>
      </c>
      <c r="B28" s="497" t="s">
        <v>871</v>
      </c>
      <c r="C28" s="493"/>
      <c r="D28" s="494"/>
      <c r="E28" s="494"/>
      <c r="F28" s="494"/>
      <c r="G28" s="494"/>
      <c r="H28" s="495"/>
    </row>
    <row r="29" spans="1:8" ht="15">
      <c r="A29" s="120">
        <f t="shared" si="1"/>
        <v>14</v>
      </c>
      <c r="B29" s="1101" t="s">
        <v>872</v>
      </c>
      <c r="C29" s="1102"/>
      <c r="D29" s="1102"/>
      <c r="E29" s="1102"/>
      <c r="F29" s="1102"/>
      <c r="G29" s="1102"/>
      <c r="H29" s="1103"/>
    </row>
    <row r="30" spans="1:8" ht="15">
      <c r="A30" s="120">
        <f t="shared" si="1"/>
        <v>15</v>
      </c>
      <c r="B30" s="499" t="s">
        <v>890</v>
      </c>
      <c r="C30" s="500">
        <f>SUBTOTAL(9,C20:C29)</f>
        <v>97734</v>
      </c>
      <c r="D30" s="500">
        <f>SUM(D20:D29)</f>
        <v>0</v>
      </c>
      <c r="E30" s="500">
        <f>SUM(E20:E29)</f>
        <v>97734</v>
      </c>
      <c r="F30" s="500">
        <f>SUM(F20:F29)</f>
        <v>0</v>
      </c>
      <c r="G30" s="500">
        <f>SUM(G20:G29)</f>
        <v>0</v>
      </c>
      <c r="H30" s="501"/>
    </row>
    <row r="31" spans="1:8" ht="15">
      <c r="A31" s="120">
        <f t="shared" si="1"/>
        <v>16</v>
      </c>
      <c r="B31" s="502" t="s">
        <v>874</v>
      </c>
      <c r="C31" s="503"/>
      <c r="D31" s="503"/>
      <c r="E31" s="503"/>
      <c r="F31" s="504"/>
      <c r="G31" s="505"/>
      <c r="H31" s="495"/>
    </row>
    <row r="32" spans="1:8" ht="15">
      <c r="A32" s="120">
        <f t="shared" si="1"/>
        <v>17</v>
      </c>
      <c r="B32" s="506" t="s">
        <v>875</v>
      </c>
      <c r="C32" s="507"/>
      <c r="D32" s="507"/>
      <c r="E32" s="507"/>
      <c r="F32" s="507"/>
      <c r="G32" s="507"/>
      <c r="H32" s="508"/>
    </row>
    <row r="33" spans="1:8" ht="15.75" thickBot="1">
      <c r="A33" s="120">
        <f t="shared" si="1"/>
        <v>18</v>
      </c>
      <c r="B33" s="509" t="s">
        <v>20</v>
      </c>
      <c r="C33" s="510">
        <f>+C30-C31-C32</f>
        <v>97734</v>
      </c>
      <c r="D33" s="510">
        <f>+D30-D31-D32</f>
        <v>0</v>
      </c>
      <c r="E33" s="510">
        <f>+E30-E31-E32</f>
        <v>97734</v>
      </c>
      <c r="F33" s="510">
        <f>+F30-F31-F32</f>
        <v>0</v>
      </c>
      <c r="G33" s="510">
        <f>+G30-G31-G32</f>
        <v>0</v>
      </c>
      <c r="H33" s="511"/>
    </row>
    <row r="34" spans="1:8" ht="15.75" thickTop="1">
      <c r="A34" s="120"/>
      <c r="B34" s="462" t="s">
        <v>876</v>
      </c>
      <c r="C34" s="490"/>
      <c r="D34" s="512"/>
      <c r="E34" s="461"/>
      <c r="F34" s="462"/>
      <c r="G34" s="513"/>
      <c r="H34" s="462"/>
    </row>
    <row r="35" spans="1:8" ht="15">
      <c r="A35" s="120"/>
      <c r="B35" s="1055" t="s">
        <v>877</v>
      </c>
      <c r="C35" s="1055"/>
      <c r="D35" s="1055"/>
      <c r="E35" s="1055"/>
      <c r="F35" s="1055"/>
      <c r="G35" s="1055"/>
      <c r="H35" s="462"/>
    </row>
    <row r="36" spans="1:8" ht="15">
      <c r="A36" s="120"/>
      <c r="B36" s="466" t="s">
        <v>878</v>
      </c>
      <c r="C36" s="462"/>
      <c r="D36" s="462"/>
      <c r="E36" s="462"/>
      <c r="F36" s="461"/>
      <c r="G36" s="461"/>
      <c r="H36" s="462"/>
    </row>
    <row r="37" spans="1:8" ht="15">
      <c r="A37" s="120"/>
      <c r="B37" s="466" t="s">
        <v>879</v>
      </c>
      <c r="C37" s="462"/>
      <c r="D37" s="462"/>
      <c r="E37" s="462"/>
      <c r="F37" s="461"/>
      <c r="G37" s="461"/>
      <c r="H37" s="462"/>
    </row>
    <row r="38" spans="1:8" ht="15">
      <c r="A38" s="120"/>
      <c r="B38" s="466" t="s">
        <v>880</v>
      </c>
      <c r="C38" s="462"/>
      <c r="D38" s="462"/>
      <c r="E38" s="462"/>
      <c r="F38" s="461"/>
      <c r="G38" s="461"/>
      <c r="H38" s="462"/>
    </row>
    <row r="39" spans="1:8" ht="27.75" customHeight="1">
      <c r="A39" s="120"/>
      <c r="B39" s="1055" t="s">
        <v>891</v>
      </c>
      <c r="C39" s="1055"/>
      <c r="D39" s="1055"/>
      <c r="E39" s="1055"/>
      <c r="F39" s="1055"/>
      <c r="G39" s="1055"/>
      <c r="H39" s="514"/>
    </row>
    <row r="40" spans="1:8" ht="15">
      <c r="A40" s="120"/>
      <c r="B40" s="514"/>
      <c r="C40" s="514"/>
      <c r="D40" s="514"/>
      <c r="E40" s="514"/>
      <c r="F40" s="514"/>
      <c r="G40" s="514"/>
      <c r="H40" s="514"/>
    </row>
    <row r="41" spans="1:8" ht="15">
      <c r="A41" s="120"/>
      <c r="B41" s="462"/>
      <c r="C41" s="462"/>
      <c r="D41" s="462"/>
      <c r="E41" s="462"/>
      <c r="F41" s="462"/>
      <c r="G41" s="462"/>
      <c r="H41" s="462"/>
    </row>
    <row r="42" spans="1:8" ht="15">
      <c r="A42" s="120"/>
      <c r="B42" s="461" t="s">
        <v>236</v>
      </c>
      <c r="C42" s="461" t="s">
        <v>238</v>
      </c>
      <c r="D42" s="461" t="s">
        <v>251</v>
      </c>
      <c r="E42" s="461" t="s">
        <v>252</v>
      </c>
      <c r="F42" s="461" t="s">
        <v>253</v>
      </c>
      <c r="G42" s="461" t="s">
        <v>254</v>
      </c>
      <c r="H42" s="461" t="s">
        <v>255</v>
      </c>
    </row>
    <row r="43" spans="1:8" ht="25.5">
      <c r="A43" s="120"/>
      <c r="B43" s="466" t="s">
        <v>812</v>
      </c>
      <c r="C43" s="491" t="s">
        <v>20</v>
      </c>
      <c r="D43" s="491" t="s">
        <v>868</v>
      </c>
      <c r="E43" s="491" t="s">
        <v>808</v>
      </c>
      <c r="F43" s="491" t="s">
        <v>809</v>
      </c>
      <c r="G43" s="491" t="s">
        <v>810</v>
      </c>
      <c r="H43" s="491" t="s">
        <v>869</v>
      </c>
    </row>
    <row r="44" spans="1:8" ht="15">
      <c r="A44" s="120">
        <f>+A33+1</f>
        <v>19</v>
      </c>
      <c r="B44" s="496"/>
      <c r="C44" s="493"/>
      <c r="D44" s="494"/>
      <c r="E44" s="494"/>
      <c r="F44" s="494"/>
      <c r="G44" s="494"/>
      <c r="H44" s="495"/>
    </row>
    <row r="45" spans="1:8" ht="15">
      <c r="A45" s="120">
        <f>+A44+1</f>
        <v>20</v>
      </c>
      <c r="B45" s="496"/>
      <c r="C45" s="493"/>
      <c r="D45" s="494"/>
      <c r="E45" s="494"/>
      <c r="F45" s="494"/>
      <c r="G45" s="494"/>
      <c r="H45" s="495"/>
    </row>
    <row r="46" spans="1:8" ht="15">
      <c r="A46" s="120">
        <f t="shared" si="2" ref="A46:A55">+A45+1</f>
        <v>21</v>
      </c>
      <c r="B46" s="496"/>
      <c r="C46" s="493"/>
      <c r="D46" s="494"/>
      <c r="E46" s="494"/>
      <c r="F46" s="494"/>
      <c r="G46" s="494"/>
      <c r="H46" s="495"/>
    </row>
    <row r="47" spans="1:8" ht="15">
      <c r="A47" s="120">
        <f t="shared" si="2"/>
        <v>22</v>
      </c>
      <c r="B47" s="496"/>
      <c r="C47" s="493"/>
      <c r="D47" s="494"/>
      <c r="E47" s="494"/>
      <c r="F47" s="494"/>
      <c r="G47" s="494"/>
      <c r="H47" s="495"/>
    </row>
    <row r="48" spans="1:8" ht="15">
      <c r="A48" s="120">
        <f t="shared" si="2"/>
        <v>23</v>
      </c>
      <c r="B48" s="496"/>
      <c r="C48" s="494"/>
      <c r="D48" s="494"/>
      <c r="E48" s="494"/>
      <c r="F48" s="494"/>
      <c r="G48" s="494"/>
      <c r="H48" s="495"/>
    </row>
    <row r="49" spans="1:8" ht="15">
      <c r="A49" s="120">
        <f t="shared" si="2"/>
        <v>24</v>
      </c>
      <c r="B49" s="497" t="s">
        <v>870</v>
      </c>
      <c r="C49" s="494">
        <f>E49</f>
        <v>-108549</v>
      </c>
      <c r="D49" s="494"/>
      <c r="E49" s="494">
        <v>-108549</v>
      </c>
      <c r="F49" s="494"/>
      <c r="G49" s="494"/>
      <c r="H49" s="495"/>
    </row>
    <row r="50" spans="1:8" ht="15">
      <c r="A50" s="120">
        <f t="shared" si="2"/>
        <v>25</v>
      </c>
      <c r="B50" s="497" t="s">
        <v>871</v>
      </c>
      <c r="C50" s="515"/>
      <c r="D50" s="515"/>
      <c r="E50" s="515"/>
      <c r="F50" s="515"/>
      <c r="G50" s="515"/>
      <c r="H50" s="495"/>
    </row>
    <row r="51" spans="1:8" ht="15">
      <c r="A51" s="120">
        <f t="shared" si="2"/>
        <v>26</v>
      </c>
      <c r="B51" s="1104" t="s">
        <v>872</v>
      </c>
      <c r="C51" s="1105">
        <f>E51</f>
        <v>-437605.23342209746</v>
      </c>
      <c r="D51" s="1105"/>
      <c r="E51" s="1105">
        <v>-437605.23342209746</v>
      </c>
      <c r="F51" s="1105"/>
      <c r="G51" s="1105"/>
      <c r="H51" s="1103"/>
    </row>
    <row r="52" spans="1:8" ht="15">
      <c r="A52" s="120">
        <f t="shared" si="2"/>
        <v>27</v>
      </c>
      <c r="B52" s="516" t="s">
        <v>892</v>
      </c>
      <c r="C52" s="500">
        <f>SUBTOTAL(9,C44:C51)</f>
        <v>-546154.23342209752</v>
      </c>
      <c r="D52" s="500">
        <f>SUM(D44:D51)</f>
        <v>0</v>
      </c>
      <c r="E52" s="500">
        <f>SUM(E44:E51)</f>
        <v>-546154.23342209752</v>
      </c>
      <c r="F52" s="500">
        <f>SUM(F44:F51)</f>
        <v>0</v>
      </c>
      <c r="G52" s="500">
        <f>SUM(G44:G51)</f>
        <v>0</v>
      </c>
      <c r="H52" s="501"/>
    </row>
    <row r="53" spans="1:8" ht="15">
      <c r="A53" s="120">
        <f t="shared" si="2"/>
        <v>28</v>
      </c>
      <c r="B53" s="516" t="s">
        <v>874</v>
      </c>
      <c r="C53" s="503"/>
      <c r="D53" s="503"/>
      <c r="E53" s="503"/>
      <c r="F53" s="503"/>
      <c r="G53" s="503"/>
      <c r="H53" s="495"/>
    </row>
    <row r="54" spans="1:8" ht="15">
      <c r="A54" s="120">
        <f t="shared" si="2"/>
        <v>29</v>
      </c>
      <c r="B54" s="517" t="s">
        <v>875</v>
      </c>
      <c r="C54" s="507"/>
      <c r="D54" s="507"/>
      <c r="E54" s="507"/>
      <c r="F54" s="507"/>
      <c r="G54" s="507"/>
      <c r="H54" s="508"/>
    </row>
    <row r="55" spans="1:8" ht="15.75" thickBot="1">
      <c r="A55" s="120">
        <f t="shared" si="2"/>
        <v>30</v>
      </c>
      <c r="B55" s="509" t="s">
        <v>20</v>
      </c>
      <c r="C55" s="510">
        <f>+C52-C53-C54</f>
        <v>-546154.23342209752</v>
      </c>
      <c r="D55" s="510">
        <f>+D52-D53-D54</f>
        <v>0</v>
      </c>
      <c r="E55" s="510">
        <f>+E52-E53-E54</f>
        <v>-546154.23342209752</v>
      </c>
      <c r="F55" s="510">
        <f>+F52-F53-F54</f>
        <v>0</v>
      </c>
      <c r="G55" s="510">
        <f>+G52-G53-G54</f>
        <v>0</v>
      </c>
      <c r="H55" s="511"/>
    </row>
    <row r="56" spans="1:8" ht="15.75" thickTop="1">
      <c r="A56" s="120"/>
      <c r="B56" s="462" t="s">
        <v>884</v>
      </c>
      <c r="C56" s="462"/>
      <c r="D56" s="461"/>
      <c r="E56" s="512"/>
      <c r="F56" s="462"/>
      <c r="G56" s="514"/>
      <c r="H56" s="462"/>
    </row>
    <row r="57" spans="1:8" ht="15">
      <c r="A57" s="120"/>
      <c r="B57" s="1055" t="s">
        <v>877</v>
      </c>
      <c r="C57" s="1055"/>
      <c r="D57" s="1055"/>
      <c r="E57" s="1055"/>
      <c r="F57" s="1055"/>
      <c r="G57" s="1055"/>
      <c r="H57" s="462"/>
    </row>
    <row r="58" spans="1:8" ht="15">
      <c r="A58" s="120"/>
      <c r="B58" s="466" t="s">
        <v>878</v>
      </c>
      <c r="C58" s="462"/>
      <c r="D58" s="462"/>
      <c r="E58" s="462"/>
      <c r="F58" s="461"/>
      <c r="G58" s="461"/>
      <c r="H58" s="462"/>
    </row>
    <row r="59" spans="1:8" ht="15">
      <c r="A59" s="120"/>
      <c r="B59" s="466" t="s">
        <v>879</v>
      </c>
      <c r="C59" s="462"/>
      <c r="D59" s="462"/>
      <c r="E59" s="462"/>
      <c r="F59" s="461"/>
      <c r="G59" s="461"/>
      <c r="H59" s="462"/>
    </row>
    <row r="60" spans="1:8" ht="15">
      <c r="A60" s="120"/>
      <c r="B60" s="466" t="s">
        <v>880</v>
      </c>
      <c r="C60" s="462"/>
      <c r="D60" s="462"/>
      <c r="E60" s="462"/>
      <c r="F60" s="461"/>
      <c r="G60" s="461"/>
      <c r="H60" s="462"/>
    </row>
    <row r="61" spans="1:8" ht="31.5" customHeight="1">
      <c r="A61" s="120"/>
      <c r="B61" s="1055" t="s">
        <v>881</v>
      </c>
      <c r="C61" s="1055"/>
      <c r="D61" s="1055"/>
      <c r="E61" s="1055"/>
      <c r="F61" s="1055"/>
      <c r="G61" s="1055"/>
      <c r="H61" s="514"/>
    </row>
    <row r="62" spans="1:8" ht="15">
      <c r="A62" s="120"/>
      <c r="B62" s="466"/>
      <c r="C62" s="462"/>
      <c r="D62" s="462"/>
      <c r="E62" s="462"/>
      <c r="F62" s="462"/>
      <c r="G62" s="462"/>
      <c r="H62" s="514"/>
    </row>
    <row r="63" spans="1:8" ht="15">
      <c r="A63" s="120"/>
      <c r="B63" s="466"/>
      <c r="C63" s="462"/>
      <c r="D63" s="462"/>
      <c r="E63" s="462"/>
      <c r="F63" s="462"/>
      <c r="G63" s="462"/>
      <c r="H63" s="514"/>
    </row>
    <row r="64" spans="1:8" ht="15">
      <c r="A64" s="120"/>
      <c r="B64" s="461" t="s">
        <v>236</v>
      </c>
      <c r="C64" s="461" t="s">
        <v>238</v>
      </c>
      <c r="D64" s="461" t="s">
        <v>251</v>
      </c>
      <c r="E64" s="461" t="s">
        <v>252</v>
      </c>
      <c r="F64" s="461" t="s">
        <v>253</v>
      </c>
      <c r="G64" s="461" t="s">
        <v>254</v>
      </c>
      <c r="H64" s="461" t="s">
        <v>255</v>
      </c>
    </row>
    <row r="65" spans="1:8" ht="25.5">
      <c r="A65" s="120"/>
      <c r="B65" s="466" t="s">
        <v>825</v>
      </c>
      <c r="C65" s="491" t="s">
        <v>20</v>
      </c>
      <c r="D65" s="491" t="s">
        <v>868</v>
      </c>
      <c r="E65" s="491" t="s">
        <v>808</v>
      </c>
      <c r="F65" s="491" t="s">
        <v>809</v>
      </c>
      <c r="G65" s="491" t="s">
        <v>810</v>
      </c>
      <c r="H65" s="491" t="s">
        <v>869</v>
      </c>
    </row>
    <row r="66" spans="1:8" ht="15">
      <c r="A66" s="120">
        <f>+A55+1</f>
        <v>31</v>
      </c>
      <c r="B66" s="518"/>
      <c r="C66" s="493"/>
      <c r="D66" s="494"/>
      <c r="E66" s="494"/>
      <c r="F66" s="494"/>
      <c r="G66" s="494"/>
      <c r="H66" s="495"/>
    </row>
    <row r="67" spans="1:8" ht="15">
      <c r="A67" s="120">
        <f>+A66+1</f>
        <v>32</v>
      </c>
      <c r="B67" s="496"/>
      <c r="C67" s="493"/>
      <c r="D67" s="494"/>
      <c r="E67" s="494"/>
      <c r="F67" s="494"/>
      <c r="G67" s="494"/>
      <c r="H67" s="495"/>
    </row>
    <row r="68" spans="1:8" ht="15">
      <c r="A68" s="120">
        <f t="shared" si="3" ref="A68:A79">+A67+1</f>
        <v>33</v>
      </c>
      <c r="B68" s="496"/>
      <c r="C68" s="493"/>
      <c r="D68" s="494"/>
      <c r="E68" s="494"/>
      <c r="F68" s="494"/>
      <c r="G68" s="494"/>
      <c r="H68" s="495"/>
    </row>
    <row r="69" spans="1:8" ht="15">
      <c r="A69" s="120">
        <f t="shared" si="3"/>
        <v>34</v>
      </c>
      <c r="B69" s="496"/>
      <c r="C69" s="493"/>
      <c r="D69" s="494"/>
      <c r="E69" s="494"/>
      <c r="F69" s="494"/>
      <c r="G69" s="494"/>
      <c r="H69" s="495"/>
    </row>
    <row r="70" spans="1:8" ht="15">
      <c r="A70" s="120">
        <f t="shared" si="3"/>
        <v>35</v>
      </c>
      <c r="B70" s="496"/>
      <c r="C70" s="494"/>
      <c r="D70" s="515"/>
      <c r="E70" s="494"/>
      <c r="F70" s="494"/>
      <c r="G70" s="494"/>
      <c r="H70" s="495"/>
    </row>
    <row r="71" spans="1:8" ht="15">
      <c r="A71" s="120">
        <f t="shared" si="3"/>
        <v>36</v>
      </c>
      <c r="B71" s="496"/>
      <c r="C71" s="494"/>
      <c r="D71" s="515"/>
      <c r="E71" s="494"/>
      <c r="F71" s="494"/>
      <c r="G71" s="494"/>
      <c r="H71" s="495"/>
    </row>
    <row r="72" spans="1:8" ht="15">
      <c r="A72" s="120">
        <f t="shared" si="3"/>
        <v>37</v>
      </c>
      <c r="B72" s="496"/>
      <c r="C72" s="494"/>
      <c r="D72" s="515"/>
      <c r="E72" s="494"/>
      <c r="F72" s="494"/>
      <c r="G72" s="494"/>
      <c r="H72" s="495"/>
    </row>
    <row r="73" spans="1:8" ht="15">
      <c r="A73" s="120">
        <f t="shared" si="3"/>
        <v>38</v>
      </c>
      <c r="B73" s="497" t="s">
        <v>870</v>
      </c>
      <c r="C73" s="494">
        <f>E73</f>
        <v>0</v>
      </c>
      <c r="D73" s="498"/>
      <c r="E73" s="494">
        <v>0</v>
      </c>
      <c r="F73" s="494"/>
      <c r="G73" s="494"/>
      <c r="H73" s="495"/>
    </row>
    <row r="74" spans="1:8" ht="15">
      <c r="A74" s="120">
        <f t="shared" si="3"/>
        <v>39</v>
      </c>
      <c r="B74" s="497" t="s">
        <v>871</v>
      </c>
      <c r="C74" s="494"/>
      <c r="D74" s="494"/>
      <c r="E74" s="494"/>
      <c r="F74" s="494"/>
      <c r="G74" s="494"/>
      <c r="H74" s="495"/>
    </row>
    <row r="75" spans="1:8" ht="15">
      <c r="A75" s="120">
        <f t="shared" si="3"/>
        <v>40</v>
      </c>
      <c r="B75" s="1101" t="s">
        <v>872</v>
      </c>
      <c r="C75" s="1106">
        <f>E75</f>
        <v>-1290.6020324653189</v>
      </c>
      <c r="D75" s="1106"/>
      <c r="E75" s="1106">
        <v>-1290.6020324653189</v>
      </c>
      <c r="F75" s="1106"/>
      <c r="G75" s="1106"/>
      <c r="H75" s="1103"/>
    </row>
    <row r="76" spans="1:8" ht="15">
      <c r="A76" s="120">
        <f t="shared" si="3"/>
        <v>41</v>
      </c>
      <c r="B76" s="499" t="s">
        <v>893</v>
      </c>
      <c r="C76" s="500">
        <f>SUBTOTAL(9,C66:C75)</f>
        <v>-1290.6020324653189</v>
      </c>
      <c r="D76" s="500">
        <f>SUM(D66:D75)</f>
        <v>0</v>
      </c>
      <c r="E76" s="500">
        <f>SUM(E66:E75)</f>
        <v>-1290.6020324653189</v>
      </c>
      <c r="F76" s="500">
        <f>SUM(F66:F75)</f>
        <v>0</v>
      </c>
      <c r="G76" s="500">
        <f>SUM(G66:G75)</f>
        <v>0</v>
      </c>
      <c r="H76" s="495"/>
    </row>
    <row r="77" spans="1:8" ht="15">
      <c r="A77" s="120">
        <f t="shared" si="3"/>
        <v>42</v>
      </c>
      <c r="B77" s="499" t="s">
        <v>874</v>
      </c>
      <c r="C77" s="504"/>
      <c r="D77" s="504"/>
      <c r="E77" s="504"/>
      <c r="F77" s="504"/>
      <c r="G77" s="504"/>
      <c r="H77" s="495"/>
    </row>
    <row r="78" spans="1:8" ht="15">
      <c r="A78" s="120">
        <f t="shared" si="3"/>
        <v>43</v>
      </c>
      <c r="B78" s="519" t="s">
        <v>875</v>
      </c>
      <c r="C78" s="520"/>
      <c r="D78" s="520"/>
      <c r="E78" s="520"/>
      <c r="F78" s="520"/>
      <c r="G78" s="520"/>
      <c r="H78" s="508"/>
    </row>
    <row r="79" spans="1:8" ht="15.75" thickBot="1">
      <c r="A79" s="120">
        <f t="shared" si="3"/>
        <v>44</v>
      </c>
      <c r="B79" s="509" t="s">
        <v>20</v>
      </c>
      <c r="C79" s="521">
        <f>+C76-C77-C78</f>
        <v>-1290.6020324653189</v>
      </c>
      <c r="D79" s="521">
        <f>+D76-D77-D78</f>
        <v>0</v>
      </c>
      <c r="E79" s="521">
        <f>+E76-E77-E78</f>
        <v>-1290.6020324653189</v>
      </c>
      <c r="F79" s="521">
        <f>+F76-F77-F78</f>
        <v>0</v>
      </c>
      <c r="G79" s="521">
        <f>+G76-G77-G78</f>
        <v>0</v>
      </c>
      <c r="H79" s="511"/>
    </row>
    <row r="80" spans="2:8" ht="15.75" thickTop="1">
      <c r="B80" s="462" t="s">
        <v>887</v>
      </c>
      <c r="C80" s="462"/>
      <c r="D80" s="462"/>
      <c r="E80" s="461"/>
      <c r="F80" s="461"/>
      <c r="G80" s="462"/>
      <c r="H80" s="522"/>
    </row>
    <row r="81" spans="2:8" ht="15">
      <c r="B81" s="1055" t="s">
        <v>877</v>
      </c>
      <c r="C81" s="1055"/>
      <c r="D81" s="1055"/>
      <c r="E81" s="1055"/>
      <c r="F81" s="1055"/>
      <c r="G81" s="1055"/>
      <c r="H81" s="462"/>
    </row>
    <row r="82" spans="2:8" ht="15">
      <c r="B82" s="466" t="s">
        <v>878</v>
      </c>
      <c r="C82" s="462"/>
      <c r="D82" s="462"/>
      <c r="E82" s="462"/>
      <c r="F82" s="461"/>
      <c r="G82" s="461"/>
      <c r="H82" s="462"/>
    </row>
    <row r="83" spans="2:8" ht="15">
      <c r="B83" s="466" t="s">
        <v>879</v>
      </c>
      <c r="C83" s="462"/>
      <c r="D83" s="462"/>
      <c r="E83" s="462"/>
      <c r="F83" s="461"/>
      <c r="G83" s="461"/>
      <c r="H83" s="462"/>
    </row>
    <row r="84" spans="2:8" ht="15">
      <c r="B84" s="466" t="s">
        <v>880</v>
      </c>
      <c r="C84" s="462"/>
      <c r="D84" s="462"/>
      <c r="E84" s="462"/>
      <c r="F84" s="461"/>
      <c r="G84" s="461"/>
      <c r="H84" s="462"/>
    </row>
    <row r="85" spans="2:8" ht="29.25" customHeight="1">
      <c r="B85" s="1055" t="s">
        <v>881</v>
      </c>
      <c r="C85" s="1055"/>
      <c r="D85" s="1055"/>
      <c r="E85" s="1055"/>
      <c r="F85" s="1055"/>
      <c r="G85" s="1055"/>
      <c r="H85" s="462"/>
    </row>
  </sheetData>
  <mergeCells count="10">
    <mergeCell ref="B57:G57"/>
    <mergeCell ref="B61:G61"/>
    <mergeCell ref="B81:G81"/>
    <mergeCell ref="B85:G85"/>
    <mergeCell ref="B1:H1"/>
    <mergeCell ref="B3:H3"/>
    <mergeCell ref="B4:H4"/>
    <mergeCell ref="B16:H16"/>
    <mergeCell ref="B35:G35"/>
    <mergeCell ref="B39:G39"/>
  </mergeCells>
  <pageMargins left="0.25" right="0.25" top="0.75" bottom="0.75" header="0.3" footer="0.3"/>
  <pageSetup orientation="landscape" scale="53" r:id="rId1"/>
  <rowBreaks count="1" manualBreakCount="1">
    <brk id="40"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C878-8325-4744-8637-8B45C1F4C11A}">
  <sheetPr>
    <pageSetUpPr fitToPage="1"/>
  </sheetPr>
  <dimension ref="A1:J35"/>
  <sheetViews>
    <sheetView view="pageBreakPreview" zoomScale="60" zoomScaleNormal="100" workbookViewId="0" topLeftCell="A1">
      <selection pane="topLeft" activeCell="A1" sqref="A1:J1"/>
    </sheetView>
  </sheetViews>
  <sheetFormatPr defaultRowHeight="15"/>
  <cols>
    <col min="1" max="1" width="7.33333333333333" style="2" customWidth="1"/>
    <col min="2" max="2" width="38.1111111111111" style="2" customWidth="1"/>
    <col min="3" max="3" width="13.6666666666667" style="2" customWidth="1"/>
    <col min="4" max="4" width="12.6666666666667" style="2" customWidth="1"/>
    <col min="5" max="5" width="21" style="2" customWidth="1"/>
    <col min="6" max="6" width="15.5555555555556" style="2" customWidth="1"/>
    <col min="7" max="7" width="15.3333333333333" style="2" customWidth="1"/>
    <col min="8" max="8" width="18.1111111111111" style="2" customWidth="1"/>
    <col min="9" max="9" width="22" style="2" customWidth="1"/>
    <col min="10" max="10" width="49.4444444444444" style="2" bestFit="1" customWidth="1"/>
    <col min="11" max="16384" width="9.11111111111111" style="2"/>
  </cols>
  <sheetData>
    <row r="1" spans="1:10" ht="15">
      <c r="A1" s="1050" t="s">
        <v>894</v>
      </c>
      <c r="B1" s="1050"/>
      <c r="C1" s="1050"/>
      <c r="D1" s="1050"/>
      <c r="E1" s="1050"/>
      <c r="F1" s="1050"/>
      <c r="G1" s="1050"/>
      <c r="H1" s="1050"/>
      <c r="I1" s="1050"/>
      <c r="J1" s="1050"/>
    </row>
    <row r="2" spans="1:10" ht="15">
      <c r="A2" s="1051" t="s">
        <v>243</v>
      </c>
      <c r="B2" s="1050" t="e">
        <v>#REF!</v>
      </c>
      <c r="C2" s="1050" t="e">
        <v>#REF!</v>
      </c>
      <c r="D2" s="1050">
        <v>0</v>
      </c>
      <c r="E2" s="1050">
        <v>0</v>
      </c>
      <c r="F2" s="1050">
        <v>0</v>
      </c>
      <c r="G2" s="1050" t="s">
        <v>395</v>
      </c>
      <c r="H2" s="1050">
        <v>0</v>
      </c>
      <c r="I2" s="1050">
        <v>0</v>
      </c>
      <c r="J2" s="1050">
        <v>0</v>
      </c>
    </row>
    <row r="3" spans="1:10" ht="15">
      <c r="A3" s="1050" t="s">
        <v>860</v>
      </c>
      <c r="B3" s="1050"/>
      <c r="C3" s="1050"/>
      <c r="D3" s="1050"/>
      <c r="E3" s="1050"/>
      <c r="F3" s="1050"/>
      <c r="G3" s="1050"/>
      <c r="H3" s="1052"/>
      <c r="I3" s="1052"/>
      <c r="J3" s="1050"/>
    </row>
    <row r="4" spans="1:10" ht="15">
      <c r="A4" s="461"/>
      <c r="B4" s="461"/>
      <c r="C4" s="461"/>
      <c r="D4" s="461"/>
      <c r="E4" s="461"/>
      <c r="F4" s="461"/>
      <c r="G4" s="461"/>
      <c r="H4" s="461"/>
      <c r="I4" s="461"/>
      <c r="J4" s="461"/>
    </row>
    <row r="5" spans="1:10" ht="15">
      <c r="A5" s="462"/>
      <c r="B5" s="461" t="s">
        <v>197</v>
      </c>
      <c r="C5" s="461" t="s">
        <v>198</v>
      </c>
      <c r="D5" s="461" t="s">
        <v>199</v>
      </c>
      <c r="E5" s="461" t="s">
        <v>200</v>
      </c>
      <c r="F5" s="461" t="s">
        <v>201</v>
      </c>
      <c r="G5" s="461" t="s">
        <v>221</v>
      </c>
      <c r="H5" s="461" t="s">
        <v>222</v>
      </c>
      <c r="I5" s="463" t="s">
        <v>223</v>
      </c>
      <c r="J5" s="461"/>
    </row>
    <row r="6" spans="1:10" ht="25.5">
      <c r="A6" s="464" t="s">
        <v>804</v>
      </c>
      <c r="B6" s="465" t="s">
        <v>805</v>
      </c>
      <c r="C6" s="465" t="s">
        <v>194</v>
      </c>
      <c r="D6" s="465" t="s">
        <v>806</v>
      </c>
      <c r="E6" s="465" t="s">
        <v>807</v>
      </c>
      <c r="F6" s="465" t="s">
        <v>808</v>
      </c>
      <c r="G6" s="465" t="s">
        <v>809</v>
      </c>
      <c r="H6" s="465" t="s">
        <v>810</v>
      </c>
      <c r="I6" s="465" t="s">
        <v>811</v>
      </c>
      <c r="J6" s="465"/>
    </row>
    <row r="7" spans="1:10" ht="15">
      <c r="A7" s="462" t="s">
        <v>812</v>
      </c>
      <c r="B7" s="466"/>
      <c r="C7" s="462"/>
      <c r="D7" s="461"/>
      <c r="E7" s="461"/>
      <c r="F7" s="461"/>
      <c r="G7" s="462"/>
      <c r="H7" s="462"/>
      <c r="I7" s="462"/>
      <c r="J7" s="462"/>
    </row>
    <row r="8" spans="1:10" ht="15">
      <c r="A8" s="467">
        <v>1</v>
      </c>
      <c r="B8" s="466" t="s">
        <v>813</v>
      </c>
      <c r="C8" s="462" t="s">
        <v>751</v>
      </c>
      <c r="D8" s="1019">
        <v>2020</v>
      </c>
      <c r="E8" s="5">
        <f>+'4c - ADIT BOY'!C55</f>
        <v>-482274.37090259668</v>
      </c>
      <c r="F8" s="5">
        <f>+'4c - ADIT BOY'!E55</f>
        <v>-482274.37090259668</v>
      </c>
      <c r="G8" s="5">
        <f>+'4c - ADIT BOY'!F55</f>
        <v>0</v>
      </c>
      <c r="H8" s="5">
        <f>+'4c - ADIT BOY'!G55</f>
        <v>0</v>
      </c>
      <c r="I8" s="5"/>
      <c r="J8" s="469"/>
    </row>
    <row r="9" spans="1:10" ht="15">
      <c r="A9" s="467">
        <f>A8+1</f>
        <v>2</v>
      </c>
      <c r="B9" s="466" t="s">
        <v>815</v>
      </c>
      <c r="C9" s="462" t="s">
        <v>751</v>
      </c>
      <c r="D9" s="1019">
        <v>2021</v>
      </c>
      <c r="E9" s="5">
        <f>+'4d - ADIT EOY'!C55-'4d - ADIT EOY'!C51</f>
        <v>-108549.00000000006</v>
      </c>
      <c r="F9" s="5">
        <f>+'4d - ADIT EOY'!E55-'4d - ADIT EOY'!E51</f>
        <v>-108549.00000000006</v>
      </c>
      <c r="G9" s="5">
        <f>+'4d - ADIT EOY'!F55-'4d - ADIT EOY'!F51</f>
        <v>0</v>
      </c>
      <c r="H9" s="5">
        <f>+'4d - ADIT EOY'!G55-'4d - ADIT EOY'!G51</f>
        <v>0</v>
      </c>
      <c r="I9" s="5"/>
      <c r="J9" s="469"/>
    </row>
    <row r="10" spans="1:10" ht="15">
      <c r="A10" s="467">
        <f t="shared" si="0" ref="A10:A15">A9+1</f>
        <v>3</v>
      </c>
      <c r="B10" s="466" t="s">
        <v>895</v>
      </c>
      <c r="C10" s="462" t="s">
        <v>751</v>
      </c>
      <c r="D10" s="1019">
        <v>2021</v>
      </c>
      <c r="E10" s="5">
        <f>+'4f - ADIT True-up Proration'!F22</f>
        <v>-63880</v>
      </c>
      <c r="F10" s="5">
        <f>+'4f - ADIT True-up Proration'!N21</f>
        <v>34286.76438356164</v>
      </c>
      <c r="G10" s="5">
        <f>+'4f - ADIT True-up Proration'!W21</f>
        <v>0</v>
      </c>
      <c r="H10" s="5">
        <f>+'4f - ADIT True-up Proration'!AF21</f>
        <v>0</v>
      </c>
      <c r="I10" s="5"/>
      <c r="J10" s="469"/>
    </row>
    <row r="11" spans="1:10" ht="15">
      <c r="A11" s="467">
        <f t="shared" si="0"/>
        <v>4</v>
      </c>
      <c r="B11" s="466" t="s">
        <v>817</v>
      </c>
      <c r="C11" s="462"/>
      <c r="D11" s="53"/>
      <c r="E11" s="523">
        <f>E9+E10</f>
        <v>-172429.00000000006</v>
      </c>
      <c r="F11" s="523">
        <f t="shared" si="1" ref="F11:H11">F9+F10</f>
        <v>-74262.235616438411</v>
      </c>
      <c r="G11" s="523">
        <f t="shared" si="1"/>
        <v>0</v>
      </c>
      <c r="H11" s="523">
        <f t="shared" si="1"/>
        <v>0</v>
      </c>
      <c r="I11" s="523"/>
      <c r="J11" s="523"/>
    </row>
    <row r="12" spans="1:10" ht="15">
      <c r="A12" s="467">
        <f t="shared" si="0"/>
        <v>5</v>
      </c>
      <c r="B12" s="466" t="s">
        <v>818</v>
      </c>
      <c r="C12" s="462"/>
      <c r="D12" s="462"/>
      <c r="E12" s="469"/>
      <c r="F12" s="469">
        <v>1</v>
      </c>
      <c r="G12" s="469"/>
      <c r="H12" s="469"/>
      <c r="I12" s="469"/>
      <c r="J12" s="470">
        <v>1</v>
      </c>
    </row>
    <row r="13" spans="1:10" ht="15">
      <c r="A13" s="467">
        <f t="shared" si="0"/>
        <v>6</v>
      </c>
      <c r="B13" s="466" t="s">
        <v>819</v>
      </c>
      <c r="C13" s="462"/>
      <c r="D13" s="462"/>
      <c r="E13" s="469"/>
      <c r="F13" s="469"/>
      <c r="G13" s="469">
        <f>+'Attachment H'!$G$84</f>
        <v>0</v>
      </c>
      <c r="H13" s="469"/>
      <c r="I13" s="469"/>
      <c r="J13" s="462" t="s">
        <v>820</v>
      </c>
    </row>
    <row r="14" spans="1:10" ht="15">
      <c r="A14" s="467">
        <f t="shared" si="0"/>
        <v>7</v>
      </c>
      <c r="B14" s="466" t="s">
        <v>821</v>
      </c>
      <c r="C14" s="462"/>
      <c r="D14" s="462"/>
      <c r="E14" s="469"/>
      <c r="F14" s="469"/>
      <c r="G14" s="469"/>
      <c r="H14" s="469">
        <f>+'Attachment H'!$I$197</f>
        <v>0</v>
      </c>
      <c r="I14" s="469"/>
      <c r="J14" s="462" t="s">
        <v>822</v>
      </c>
    </row>
    <row r="15" spans="1:10" ht="15">
      <c r="A15" s="467">
        <f t="shared" si="0"/>
        <v>8</v>
      </c>
      <c r="B15" s="466" t="s">
        <v>823</v>
      </c>
      <c r="C15" s="462"/>
      <c r="D15" s="462"/>
      <c r="E15" s="523">
        <f>+E11</f>
        <v>-172429.00000000006</v>
      </c>
      <c r="F15" s="523">
        <f>F11*F12</f>
        <v>-74262.235616438411</v>
      </c>
      <c r="G15" s="523">
        <f>+G11*G13</f>
        <v>0</v>
      </c>
      <c r="H15" s="523">
        <f>+H11*H14</f>
        <v>0</v>
      </c>
      <c r="I15" s="523">
        <f>+F15+G15+H15</f>
        <v>-74262.235616438411</v>
      </c>
      <c r="J15" s="469" t="s">
        <v>896</v>
      </c>
    </row>
    <row r="16" spans="1:10" ht="15">
      <c r="A16" s="467"/>
      <c r="B16" s="466"/>
      <c r="C16" s="462"/>
      <c r="D16" s="462"/>
      <c r="E16" s="462"/>
      <c r="F16" s="462"/>
      <c r="G16" s="462"/>
      <c r="H16" s="462"/>
      <c r="I16" s="462"/>
      <c r="J16" s="462"/>
    </row>
    <row r="17" spans="1:10" ht="15">
      <c r="A17" s="462" t="s">
        <v>825</v>
      </c>
      <c r="B17" s="466"/>
      <c r="C17" s="462"/>
      <c r="D17" s="462"/>
      <c r="E17" s="462"/>
      <c r="F17" s="462"/>
      <c r="G17" s="462"/>
      <c r="H17" s="462"/>
      <c r="I17" s="462"/>
      <c r="J17" s="462"/>
    </row>
    <row r="18" spans="1:10" ht="15">
      <c r="A18" s="467">
        <f>A15+1</f>
        <v>9</v>
      </c>
      <c r="B18" s="466" t="s">
        <v>826</v>
      </c>
      <c r="C18" s="462" t="s">
        <v>751</v>
      </c>
      <c r="D18" s="1019">
        <v>2020</v>
      </c>
      <c r="E18" s="5">
        <f>+'4c - ADIT BOY'!C79</f>
        <v>-2521</v>
      </c>
      <c r="F18" s="5">
        <f>+'4c - ADIT BOY'!E79</f>
        <v>-2521</v>
      </c>
      <c r="G18" s="5">
        <f>+'4c - ADIT BOY'!F79</f>
        <v>0</v>
      </c>
      <c r="H18" s="5">
        <f>+'4c - ADIT BOY'!G79</f>
        <v>0</v>
      </c>
      <c r="I18" s="5"/>
      <c r="J18" s="469"/>
    </row>
    <row r="19" spans="1:10" ht="15">
      <c r="A19" s="467">
        <f>A18+1</f>
        <v>10</v>
      </c>
      <c r="B19" s="466" t="s">
        <v>827</v>
      </c>
      <c r="C19" s="462" t="s">
        <v>751</v>
      </c>
      <c r="D19" s="1019">
        <v>2021</v>
      </c>
      <c r="E19" s="5">
        <f>+'4d - ADIT EOY'!C79-'4d - ADIT EOY'!C75</f>
        <v>0</v>
      </c>
      <c r="F19" s="5">
        <f>+'4d - ADIT EOY'!E79-'4d - ADIT EOY'!E75</f>
        <v>0</v>
      </c>
      <c r="G19" s="5">
        <f>+'4d - ADIT EOY'!F79-'4d - ADIT EOY'!F75</f>
        <v>0</v>
      </c>
      <c r="H19" s="5">
        <f>+'4d - ADIT EOY'!G79-'4d - ADIT EOY'!G75</f>
        <v>0</v>
      </c>
      <c r="I19" s="5"/>
      <c r="J19" s="469"/>
    </row>
    <row r="20" spans="1:10" ht="15">
      <c r="A20" s="467">
        <f t="shared" si="2" ref="A20:A25">A19+1</f>
        <v>11</v>
      </c>
      <c r="B20" s="466" t="s">
        <v>897</v>
      </c>
      <c r="C20" s="462" t="s">
        <v>751</v>
      </c>
      <c r="D20" s="1019">
        <v>2021</v>
      </c>
      <c r="E20" s="5">
        <f>+'4f - ADIT True-up Proration'!F38</f>
        <v>1230</v>
      </c>
      <c r="F20" s="5">
        <f>+'4f - ADIT True-up Proration'!N37</f>
        <v>0</v>
      </c>
      <c r="G20" s="5">
        <f>+'4f - ADIT True-up Proration'!W37</f>
        <v>0</v>
      </c>
      <c r="H20" s="5">
        <f>+'4f - ADIT True-up Proration'!AF37</f>
        <v>0</v>
      </c>
      <c r="I20" s="5"/>
      <c r="J20" s="469"/>
    </row>
    <row r="21" spans="1:10" ht="15">
      <c r="A21" s="467">
        <f t="shared" si="2"/>
        <v>12</v>
      </c>
      <c r="B21" s="466" t="s">
        <v>817</v>
      </c>
      <c r="C21" s="462"/>
      <c r="D21" s="53"/>
      <c r="E21" s="523">
        <f>E19+E20</f>
        <v>1230</v>
      </c>
      <c r="F21" s="523">
        <f t="shared" si="3" ref="F21:H21">F19+F20</f>
        <v>0</v>
      </c>
      <c r="G21" s="523">
        <f t="shared" si="3"/>
        <v>0</v>
      </c>
      <c r="H21" s="523">
        <f t="shared" si="3"/>
        <v>0</v>
      </c>
      <c r="I21" s="5"/>
      <c r="J21" s="469"/>
    </row>
    <row r="22" spans="1:10" ht="15">
      <c r="A22" s="467">
        <f t="shared" si="2"/>
        <v>13</v>
      </c>
      <c r="B22" s="466" t="s">
        <v>818</v>
      </c>
      <c r="C22" s="462"/>
      <c r="D22" s="462"/>
      <c r="E22" s="469"/>
      <c r="F22" s="469">
        <v>1</v>
      </c>
      <c r="G22" s="469"/>
      <c r="H22" s="469"/>
      <c r="I22" s="469"/>
      <c r="J22" s="470">
        <v>1</v>
      </c>
    </row>
    <row r="23" spans="1:10" ht="15">
      <c r="A23" s="467">
        <f t="shared" si="2"/>
        <v>14</v>
      </c>
      <c r="B23" s="466" t="s">
        <v>819</v>
      </c>
      <c r="C23" s="462"/>
      <c r="D23" s="462"/>
      <c r="E23" s="469"/>
      <c r="F23" s="469"/>
      <c r="G23" s="469">
        <f>+'Attachment H'!$G$84</f>
        <v>0</v>
      </c>
      <c r="H23" s="469"/>
      <c r="I23" s="469"/>
      <c r="J23" s="462" t="s">
        <v>820</v>
      </c>
    </row>
    <row r="24" spans="1:10" ht="15">
      <c r="A24" s="467">
        <f t="shared" si="2"/>
        <v>15</v>
      </c>
      <c r="B24" s="466" t="s">
        <v>821</v>
      </c>
      <c r="C24" s="462"/>
      <c r="D24" s="462"/>
      <c r="E24" s="469"/>
      <c r="F24" s="469"/>
      <c r="G24" s="469"/>
      <c r="H24" s="469">
        <f>+'Attachment H'!$I$197</f>
        <v>0</v>
      </c>
      <c r="I24" s="469"/>
      <c r="J24" s="462" t="s">
        <v>822</v>
      </c>
    </row>
    <row r="25" spans="1:10" ht="15">
      <c r="A25" s="467">
        <f t="shared" si="2"/>
        <v>16</v>
      </c>
      <c r="B25" s="466" t="s">
        <v>823</v>
      </c>
      <c r="C25" s="462"/>
      <c r="D25" s="462"/>
      <c r="E25" s="523">
        <f>+E21</f>
        <v>1230</v>
      </c>
      <c r="F25" s="523">
        <f>+F21*F22</f>
        <v>0</v>
      </c>
      <c r="G25" s="523">
        <f>+G21*G23</f>
        <v>0</v>
      </c>
      <c r="H25" s="523">
        <f>+H21*H24</f>
        <v>0</v>
      </c>
      <c r="I25" s="523">
        <f>+F25+G25+H25</f>
        <v>0</v>
      </c>
      <c r="J25" s="469" t="s">
        <v>896</v>
      </c>
    </row>
    <row r="26" spans="1:10" ht="15">
      <c r="A26" s="467"/>
      <c r="B26" s="466"/>
      <c r="C26" s="462"/>
      <c r="D26" s="462"/>
      <c r="E26" s="462"/>
      <c r="F26" s="462"/>
      <c r="G26" s="462"/>
      <c r="H26" s="462"/>
      <c r="I26" s="462"/>
      <c r="J26" s="462"/>
    </row>
    <row r="27" spans="1:10" ht="15">
      <c r="A27" s="462" t="s">
        <v>830</v>
      </c>
      <c r="B27" s="466"/>
      <c r="C27" s="462"/>
      <c r="D27" s="462"/>
      <c r="E27" s="462"/>
      <c r="F27" s="462"/>
      <c r="G27" s="462"/>
      <c r="H27" s="462"/>
      <c r="I27" s="462"/>
      <c r="J27" s="462"/>
    </row>
    <row r="28" spans="1:10" ht="15">
      <c r="A28" s="467">
        <f>A25+1</f>
        <v>17</v>
      </c>
      <c r="B28" s="466" t="s">
        <v>831</v>
      </c>
      <c r="C28" s="462" t="s">
        <v>751</v>
      </c>
      <c r="D28" s="1019">
        <v>2020</v>
      </c>
      <c r="E28" s="5">
        <f>+'4c - ADIT BOY'!C33</f>
        <v>97734</v>
      </c>
      <c r="F28" s="5">
        <f>+'4c - ADIT BOY'!E33</f>
        <v>97734</v>
      </c>
      <c r="G28" s="5">
        <f>+'4c - ADIT BOY'!F33</f>
        <v>0</v>
      </c>
      <c r="H28" s="5">
        <f>+'4c - ADIT BOY'!G33</f>
        <v>0</v>
      </c>
      <c r="I28" s="5"/>
      <c r="J28" s="469"/>
    </row>
    <row r="29" spans="1:10" ht="15">
      <c r="A29" s="467">
        <f>A28+1</f>
        <v>18</v>
      </c>
      <c r="B29" s="466" t="s">
        <v>832</v>
      </c>
      <c r="C29" s="462" t="s">
        <v>751</v>
      </c>
      <c r="D29" s="1019">
        <v>2021</v>
      </c>
      <c r="E29" s="5">
        <f>+'4d - ADIT EOY'!C33-'4d - ADIT EOY'!C29</f>
        <v>97734</v>
      </c>
      <c r="F29" s="5">
        <f>+'4d - ADIT EOY'!E33-'4d - ADIT EOY'!E29</f>
        <v>97734</v>
      </c>
      <c r="G29" s="5">
        <f>+'4d - ADIT EOY'!F33-'4d - ADIT EOY'!F29</f>
        <v>0</v>
      </c>
      <c r="H29" s="5">
        <f>+'4d - ADIT EOY'!G33-'4d - ADIT EOY'!G29</f>
        <v>0</v>
      </c>
      <c r="I29" s="5"/>
      <c r="J29" s="469"/>
    </row>
    <row r="30" spans="1:10" ht="15">
      <c r="A30" s="467">
        <f t="shared" si="4" ref="A30:A35">A29+1</f>
        <v>19</v>
      </c>
      <c r="B30" s="466" t="s">
        <v>898</v>
      </c>
      <c r="C30" s="462" t="s">
        <v>751</v>
      </c>
      <c r="D30" s="1019">
        <v>2021</v>
      </c>
      <c r="E30" s="5">
        <f>+'4f - ADIT True-up Proration'!F54</f>
        <v>0</v>
      </c>
      <c r="F30" s="5">
        <f>+'4f - ADIT True-up Proration'!N53</f>
        <v>0</v>
      </c>
      <c r="G30" s="5">
        <f>+'4f - ADIT True-up Proration'!W53</f>
        <v>0</v>
      </c>
      <c r="H30" s="5">
        <f>+'4f - ADIT True-up Proration'!AF53</f>
        <v>0</v>
      </c>
      <c r="I30" s="5"/>
      <c r="J30" s="469"/>
    </row>
    <row r="31" spans="1:10" ht="15">
      <c r="A31" s="467">
        <f t="shared" si="4"/>
        <v>20</v>
      </c>
      <c r="B31" s="466" t="s">
        <v>817</v>
      </c>
      <c r="C31" s="462"/>
      <c r="D31" s="53"/>
      <c r="E31" s="523">
        <f>E29+E30</f>
        <v>97734</v>
      </c>
      <c r="F31" s="523">
        <f t="shared" si="5" ref="F31:H31">F29+F30</f>
        <v>97734</v>
      </c>
      <c r="G31" s="523">
        <f t="shared" si="5"/>
        <v>0</v>
      </c>
      <c r="H31" s="523">
        <f t="shared" si="5"/>
        <v>0</v>
      </c>
      <c r="I31" s="5"/>
      <c r="J31" s="469"/>
    </row>
    <row r="32" spans="1:10" ht="15">
      <c r="A32" s="467">
        <f t="shared" si="4"/>
        <v>21</v>
      </c>
      <c r="B32" s="466" t="s">
        <v>818</v>
      </c>
      <c r="C32" s="462"/>
      <c r="D32" s="462"/>
      <c r="E32" s="469"/>
      <c r="F32" s="469">
        <v>1</v>
      </c>
      <c r="G32" s="469"/>
      <c r="H32" s="469"/>
      <c r="I32" s="469"/>
      <c r="J32" s="470">
        <v>1</v>
      </c>
    </row>
    <row r="33" spans="1:10" ht="15">
      <c r="A33" s="467">
        <f t="shared" si="4"/>
        <v>22</v>
      </c>
      <c r="B33" s="466" t="s">
        <v>819</v>
      </c>
      <c r="C33" s="462"/>
      <c r="D33" s="462"/>
      <c r="E33" s="469"/>
      <c r="F33" s="469"/>
      <c r="G33" s="469">
        <f>+'Attachment H'!$G$84</f>
        <v>0</v>
      </c>
      <c r="H33" s="469"/>
      <c r="I33" s="469"/>
      <c r="J33" s="462" t="s">
        <v>820</v>
      </c>
    </row>
    <row r="34" spans="1:10" ht="15">
      <c r="A34" s="467">
        <f t="shared" si="4"/>
        <v>23</v>
      </c>
      <c r="B34" s="466" t="s">
        <v>821</v>
      </c>
      <c r="C34" s="462"/>
      <c r="D34" s="462"/>
      <c r="E34" s="469"/>
      <c r="F34" s="469"/>
      <c r="G34" s="469"/>
      <c r="H34" s="469">
        <f>+'Attachment H'!$I$197</f>
        <v>0</v>
      </c>
      <c r="I34" s="469"/>
      <c r="J34" s="462" t="s">
        <v>822</v>
      </c>
    </row>
    <row r="35" spans="1:10" ht="15">
      <c r="A35" s="467">
        <f t="shared" si="4"/>
        <v>24</v>
      </c>
      <c r="B35" s="466" t="s">
        <v>823</v>
      </c>
      <c r="C35" s="462"/>
      <c r="D35" s="462"/>
      <c r="E35" s="523">
        <f>+E31</f>
        <v>97734</v>
      </c>
      <c r="F35" s="523">
        <f>+F31*F32</f>
        <v>97734</v>
      </c>
      <c r="G35" s="523">
        <f>+G31*G33</f>
        <v>0</v>
      </c>
      <c r="H35" s="523">
        <f>+H31*H34</f>
        <v>0</v>
      </c>
      <c r="I35" s="523">
        <f>+F35+G35+H35</f>
        <v>97734</v>
      </c>
      <c r="J35" s="469" t="s">
        <v>896</v>
      </c>
    </row>
  </sheetData>
  <mergeCells count="3">
    <mergeCell ref="A1:J1"/>
    <mergeCell ref="A2:J2"/>
    <mergeCell ref="A3:J3"/>
  </mergeCells>
  <pageMargins left="0.25" right="0.25" top="0.75" bottom="0.75" header="0.3" footer="0.3"/>
  <pageSetup fitToHeight="0" orientation="landscape" scale="63"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A9DDF-8A37-42D2-985C-959380980A27}">
  <dimension ref="A1:AF61"/>
  <sheetViews>
    <sheetView view="pageBreakPreview" zoomScale="60" zoomScaleNormal="100" workbookViewId="0" topLeftCell="A1">
      <selection pane="topLeft" activeCell="A1" sqref="A1:N1"/>
    </sheetView>
  </sheetViews>
  <sheetFormatPr defaultRowHeight="15"/>
  <cols>
    <col min="1" max="1" width="7.33333333333333" style="2" customWidth="1"/>
    <col min="2" max="2" width="33.3333333333333" style="2" customWidth="1"/>
    <col min="3" max="3" width="13.6666666666667" style="2" customWidth="1"/>
    <col min="4" max="4" width="12.6666666666667" style="2" customWidth="1"/>
    <col min="5" max="5" width="12.8888888888889" style="2" customWidth="1"/>
    <col min="6" max="32" width="13.5555555555556" style="2" customWidth="1"/>
    <col min="33" max="16384" width="9.11111111111111" style="2"/>
  </cols>
  <sheetData>
    <row r="1" spans="1:32" ht="15">
      <c r="A1" s="1050" t="s">
        <v>899</v>
      </c>
      <c r="B1" s="1050"/>
      <c r="C1" s="1050"/>
      <c r="D1" s="1050"/>
      <c r="E1" s="1050"/>
      <c r="F1" s="1050"/>
      <c r="G1" s="1050"/>
      <c r="H1" s="1050"/>
      <c r="I1" s="1050"/>
      <c r="J1" s="1050"/>
      <c r="K1" s="1050"/>
      <c r="L1" s="1050"/>
      <c r="M1" s="1050"/>
      <c r="N1" s="1050"/>
      <c r="O1" s="462"/>
      <c r="P1" s="462"/>
      <c r="Q1" s="462"/>
      <c r="R1" s="462"/>
      <c r="S1" s="462"/>
      <c r="T1" s="462"/>
      <c r="U1" s="462"/>
      <c r="V1" s="462"/>
      <c r="W1" s="462"/>
      <c r="X1" s="462"/>
      <c r="Y1" s="462"/>
      <c r="Z1" s="462"/>
      <c r="AA1" s="462"/>
      <c r="AB1" s="462"/>
      <c r="AC1" s="462"/>
      <c r="AD1" s="462"/>
      <c r="AE1" s="462"/>
      <c r="AF1" s="462"/>
    </row>
    <row r="2" spans="1:32" ht="15">
      <c r="A2" s="1050" t="s">
        <v>243</v>
      </c>
      <c r="B2" s="1050"/>
      <c r="C2" s="1050"/>
      <c r="D2" s="1050"/>
      <c r="E2" s="1050"/>
      <c r="F2" s="1050"/>
      <c r="G2" s="1050"/>
      <c r="H2" s="1050"/>
      <c r="I2" s="1050"/>
      <c r="J2" s="1050"/>
      <c r="K2" s="1050"/>
      <c r="L2" s="1050"/>
      <c r="M2" s="1050"/>
      <c r="N2" s="1050"/>
      <c r="O2" s="462"/>
      <c r="P2" s="462"/>
      <c r="Q2" s="462"/>
      <c r="R2" s="462"/>
      <c r="S2" s="462"/>
      <c r="T2" s="462"/>
      <c r="U2" s="462"/>
      <c r="V2" s="462"/>
      <c r="W2" s="462"/>
      <c r="X2" s="462"/>
      <c r="Y2" s="462"/>
      <c r="Z2" s="462"/>
      <c r="AA2" s="462"/>
      <c r="AB2" s="462"/>
      <c r="AC2" s="462"/>
      <c r="AD2" s="462"/>
      <c r="AE2" s="462"/>
      <c r="AF2" s="462"/>
    </row>
    <row r="3" spans="1:32" ht="15">
      <c r="A3" s="1050" t="s">
        <v>860</v>
      </c>
      <c r="B3" s="1050"/>
      <c r="C3" s="1050"/>
      <c r="D3" s="1050"/>
      <c r="E3" s="1050"/>
      <c r="F3" s="1050"/>
      <c r="G3" s="1050"/>
      <c r="H3" s="1050"/>
      <c r="I3" s="1050"/>
      <c r="J3" s="1050"/>
      <c r="K3" s="1050"/>
      <c r="L3" s="1050"/>
      <c r="M3" s="1050"/>
      <c r="N3" s="1050"/>
      <c r="O3" s="462"/>
      <c r="P3" s="462"/>
      <c r="Q3" s="462"/>
      <c r="R3" s="462"/>
      <c r="S3" s="462"/>
      <c r="T3" s="462"/>
      <c r="U3" s="462"/>
      <c r="V3" s="462"/>
      <c r="W3" s="462"/>
      <c r="X3" s="462"/>
      <c r="Y3" s="462"/>
      <c r="Z3" s="462"/>
      <c r="AA3" s="462"/>
      <c r="AB3" s="462"/>
      <c r="AC3" s="462"/>
      <c r="AD3" s="462"/>
      <c r="AE3" s="462"/>
      <c r="AF3" s="462"/>
    </row>
    <row r="4" spans="1:32" ht="15.75" thickBot="1">
      <c r="A4" s="462"/>
      <c r="B4" s="466"/>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row>
    <row r="5" spans="1:32" ht="15">
      <c r="A5" s="462"/>
      <c r="B5" s="466"/>
      <c r="C5" s="462"/>
      <c r="D5" s="462"/>
      <c r="E5" s="462"/>
      <c r="F5" s="1058" t="s">
        <v>314</v>
      </c>
      <c r="G5" s="1059"/>
      <c r="H5" s="1059"/>
      <c r="I5" s="1059"/>
      <c r="J5" s="1059"/>
      <c r="K5" s="1059"/>
      <c r="L5" s="1059"/>
      <c r="M5" s="1059"/>
      <c r="N5" s="1060"/>
      <c r="O5" s="1058" t="s">
        <v>809</v>
      </c>
      <c r="P5" s="1059"/>
      <c r="Q5" s="1059"/>
      <c r="R5" s="1059"/>
      <c r="S5" s="1059"/>
      <c r="T5" s="1059"/>
      <c r="U5" s="1059"/>
      <c r="V5" s="1059"/>
      <c r="W5" s="1060"/>
      <c r="X5" s="1058" t="s">
        <v>810</v>
      </c>
      <c r="Y5" s="1059"/>
      <c r="Z5" s="1059"/>
      <c r="AA5" s="1059"/>
      <c r="AB5" s="1059"/>
      <c r="AC5" s="1059"/>
      <c r="AD5" s="1059"/>
      <c r="AE5" s="1059"/>
      <c r="AF5" s="1060"/>
    </row>
    <row r="6" spans="1:32" ht="15">
      <c r="A6" s="462"/>
      <c r="B6" s="461" t="s">
        <v>197</v>
      </c>
      <c r="C6" s="461" t="s">
        <v>198</v>
      </c>
      <c r="D6" s="461" t="s">
        <v>199</v>
      </c>
      <c r="E6" s="461" t="s">
        <v>200</v>
      </c>
      <c r="F6" s="524" t="s">
        <v>201</v>
      </c>
      <c r="G6" s="461" t="s">
        <v>221</v>
      </c>
      <c r="H6" s="461" t="s">
        <v>222</v>
      </c>
      <c r="I6" s="461" t="s">
        <v>221</v>
      </c>
      <c r="J6" s="461" t="s">
        <v>222</v>
      </c>
      <c r="K6" s="461" t="s">
        <v>223</v>
      </c>
      <c r="L6" s="461" t="s">
        <v>678</v>
      </c>
      <c r="M6" s="461" t="s">
        <v>732</v>
      </c>
      <c r="N6" s="525" t="s">
        <v>733</v>
      </c>
      <c r="O6" s="524" t="s">
        <v>201</v>
      </c>
      <c r="P6" s="461" t="s">
        <v>221</v>
      </c>
      <c r="Q6" s="461" t="s">
        <v>222</v>
      </c>
      <c r="R6" s="461" t="s">
        <v>221</v>
      </c>
      <c r="S6" s="461" t="s">
        <v>222</v>
      </c>
      <c r="T6" s="461" t="s">
        <v>223</v>
      </c>
      <c r="U6" s="461" t="s">
        <v>678</v>
      </c>
      <c r="V6" s="461" t="s">
        <v>732</v>
      </c>
      <c r="W6" s="525" t="s">
        <v>733</v>
      </c>
      <c r="X6" s="524" t="s">
        <v>201</v>
      </c>
      <c r="Y6" s="461" t="s">
        <v>221</v>
      </c>
      <c r="Z6" s="461" t="s">
        <v>222</v>
      </c>
      <c r="AA6" s="461" t="s">
        <v>221</v>
      </c>
      <c r="AB6" s="461" t="s">
        <v>222</v>
      </c>
      <c r="AC6" s="461" t="s">
        <v>223</v>
      </c>
      <c r="AD6" s="461" t="s">
        <v>678</v>
      </c>
      <c r="AE6" s="461" t="s">
        <v>732</v>
      </c>
      <c r="AF6" s="525" t="s">
        <v>733</v>
      </c>
    </row>
    <row r="7" spans="1:32" ht="76.5">
      <c r="A7" s="526"/>
      <c r="B7" s="465" t="s">
        <v>805</v>
      </c>
      <c r="C7" s="465" t="s">
        <v>194</v>
      </c>
      <c r="D7" s="465" t="s">
        <v>806</v>
      </c>
      <c r="E7" s="465" t="s">
        <v>837</v>
      </c>
      <c r="F7" s="527" t="s">
        <v>900</v>
      </c>
      <c r="G7" s="465" t="s">
        <v>901</v>
      </c>
      <c r="H7" s="465" t="s">
        <v>902</v>
      </c>
      <c r="I7" s="465" t="s">
        <v>903</v>
      </c>
      <c r="J7" s="465" t="s">
        <v>904</v>
      </c>
      <c r="K7" s="465" t="s">
        <v>905</v>
      </c>
      <c r="L7" s="465" t="s">
        <v>906</v>
      </c>
      <c r="M7" s="465" t="s">
        <v>907</v>
      </c>
      <c r="N7" s="528" t="s">
        <v>908</v>
      </c>
      <c r="O7" s="527" t="s">
        <v>900</v>
      </c>
      <c r="P7" s="465" t="s">
        <v>901</v>
      </c>
      <c r="Q7" s="465" t="s">
        <v>902</v>
      </c>
      <c r="R7" s="465" t="s">
        <v>903</v>
      </c>
      <c r="S7" s="465" t="s">
        <v>904</v>
      </c>
      <c r="T7" s="465" t="s">
        <v>905</v>
      </c>
      <c r="U7" s="465" t="s">
        <v>906</v>
      </c>
      <c r="V7" s="465" t="s">
        <v>907</v>
      </c>
      <c r="W7" s="528" t="s">
        <v>908</v>
      </c>
      <c r="X7" s="527" t="s">
        <v>900</v>
      </c>
      <c r="Y7" s="465" t="s">
        <v>901</v>
      </c>
      <c r="Z7" s="465" t="s">
        <v>902</v>
      </c>
      <c r="AA7" s="465" t="s">
        <v>903</v>
      </c>
      <c r="AB7" s="465" t="s">
        <v>904</v>
      </c>
      <c r="AC7" s="465" t="s">
        <v>905</v>
      </c>
      <c r="AD7" s="465" t="s">
        <v>906</v>
      </c>
      <c r="AE7" s="465" t="s">
        <v>907</v>
      </c>
      <c r="AF7" s="528" t="s">
        <v>908</v>
      </c>
    </row>
    <row r="8" spans="1:32" ht="15">
      <c r="A8" s="462" t="s">
        <v>909</v>
      </c>
      <c r="B8" s="466"/>
      <c r="C8" s="462"/>
      <c r="D8" s="461"/>
      <c r="E8" s="461"/>
      <c r="F8" s="529"/>
      <c r="G8" s="462"/>
      <c r="H8" s="462"/>
      <c r="I8" s="462"/>
      <c r="J8" s="462"/>
      <c r="K8" s="462"/>
      <c r="L8" s="462"/>
      <c r="M8" s="462"/>
      <c r="N8" s="530"/>
      <c r="O8" s="529"/>
      <c r="P8" s="462"/>
      <c r="Q8" s="462"/>
      <c r="R8" s="462"/>
      <c r="S8" s="462"/>
      <c r="T8" s="462"/>
      <c r="U8" s="462"/>
      <c r="V8" s="462"/>
      <c r="W8" s="530"/>
      <c r="X8" s="529"/>
      <c r="Y8" s="462"/>
      <c r="Z8" s="462"/>
      <c r="AA8" s="462"/>
      <c r="AB8" s="462"/>
      <c r="AC8" s="462"/>
      <c r="AD8" s="462"/>
      <c r="AE8" s="462"/>
      <c r="AF8" s="530"/>
    </row>
    <row r="9" spans="1:32" ht="15">
      <c r="A9" s="467">
        <v>1</v>
      </c>
      <c r="B9" s="466" t="s">
        <v>843</v>
      </c>
      <c r="C9" s="462" t="s">
        <v>751</v>
      </c>
      <c r="D9" s="147" t="s">
        <v>814</v>
      </c>
      <c r="E9" s="111">
        <f>365/365</f>
        <v>1</v>
      </c>
      <c r="F9" s="531"/>
      <c r="G9" s="5"/>
      <c r="H9" s="5">
        <f>+'4c - ADIT BOY'!E55</f>
        <v>-482274.37090259668</v>
      </c>
      <c r="I9" s="5"/>
      <c r="J9" s="5"/>
      <c r="K9" s="5"/>
      <c r="L9" s="5"/>
      <c r="M9" s="5"/>
      <c r="N9" s="27">
        <v>0</v>
      </c>
      <c r="O9" s="531"/>
      <c r="P9" s="5"/>
      <c r="Q9" s="5">
        <f>+'4c - ADIT BOY'!F55</f>
        <v>0</v>
      </c>
      <c r="R9" s="5"/>
      <c r="S9" s="5"/>
      <c r="T9" s="5"/>
      <c r="U9" s="5"/>
      <c r="V9" s="5"/>
      <c r="W9" s="27">
        <v>0</v>
      </c>
      <c r="X9" s="531"/>
      <c r="Y9" s="5"/>
      <c r="Z9" s="5">
        <f>+'4c - ADIT BOY'!G55</f>
        <v>0</v>
      </c>
      <c r="AA9" s="5"/>
      <c r="AB9" s="5"/>
      <c r="AC9" s="5"/>
      <c r="AD9" s="5"/>
      <c r="AE9" s="5"/>
      <c r="AF9" s="27">
        <v>0</v>
      </c>
    </row>
    <row r="10" spans="1:32" ht="15">
      <c r="A10" s="467">
        <f t="shared" si="0" ref="A10:A22">+A9+1</f>
        <v>2</v>
      </c>
      <c r="B10" s="466" t="s">
        <v>844</v>
      </c>
      <c r="C10" s="462" t="s">
        <v>207</v>
      </c>
      <c r="D10" s="147" t="s">
        <v>814</v>
      </c>
      <c r="E10" s="111">
        <f>335/365</f>
        <v>0.9178082191780822</v>
      </c>
      <c r="F10" s="531">
        <f>+'4b - ADIT Projection Proration'!G10</f>
        <v>-5324</v>
      </c>
      <c r="G10" s="5">
        <f>$E10*F10</f>
        <v>-4886.41095890411</v>
      </c>
      <c r="H10" s="5">
        <f>+G10+H9</f>
        <v>-487160.78186150081</v>
      </c>
      <c r="I10" s="60">
        <v>0</v>
      </c>
      <c r="J10" s="5">
        <f t="shared" si="1" ref="J10:J21">I10-F10</f>
        <v>5324</v>
      </c>
      <c r="K10" s="5">
        <f>IF(J10&gt;=0,+J10,0)</f>
        <v>5324</v>
      </c>
      <c r="L10" s="5">
        <f>IF(K10&gt;0,0,IF(I10&lt;0,0,(-(J10)*($E10))))</f>
        <v>0</v>
      </c>
      <c r="M10" s="5">
        <f>IF(K10&gt;0,0,IF(I10&gt;0,0,(-(J10)*($E10))))</f>
        <v>0</v>
      </c>
      <c r="N10" s="27">
        <f>IF(I10&lt;0,N9+M10,N9+$G10+K10-L10)</f>
        <v>437.58904109589002</v>
      </c>
      <c r="O10" s="531">
        <f>+'4b - ADIT Projection Proration'!I10</f>
        <v>0</v>
      </c>
      <c r="P10" s="5">
        <f t="shared" si="2" ref="P10:P21">$E10*O10</f>
        <v>0</v>
      </c>
      <c r="Q10" s="5">
        <f>+P10+Q9</f>
        <v>0</v>
      </c>
      <c r="R10" s="60">
        <v>0</v>
      </c>
      <c r="S10" s="5">
        <f t="shared" si="3" ref="S10:S21">R10-O10</f>
        <v>0</v>
      </c>
      <c r="T10" s="5">
        <f>IF(S10&gt;=0,+S10,0)</f>
        <v>0</v>
      </c>
      <c r="U10" s="5">
        <f t="shared" si="4" ref="U10:U21">IF(T10&gt;0,0,IF(R10&lt;0,0,(-(S10)*($E10))))</f>
        <v>0</v>
      </c>
      <c r="V10" s="5">
        <f t="shared" si="5" ref="V10:V21">IF(T10&gt;0,0,IF(R10&gt;0,0,(-(S10)*($E10))))</f>
        <v>0</v>
      </c>
      <c r="W10" s="27">
        <f>IF(R10&lt;0,W9+V10,W9+P10+T10-U10)</f>
        <v>0</v>
      </c>
      <c r="X10" s="531">
        <f>+'4b - ADIT Projection Proration'!K10</f>
        <v>0</v>
      </c>
      <c r="Y10" s="5">
        <f t="shared" si="6" ref="Y10:Y21">$E10*X10</f>
        <v>0</v>
      </c>
      <c r="Z10" s="5">
        <f>+Y10+Z9</f>
        <v>0</v>
      </c>
      <c r="AA10" s="60">
        <v>0</v>
      </c>
      <c r="AB10" s="5">
        <f t="shared" si="7" ref="AB10:AB21">AA10-X10</f>
        <v>0</v>
      </c>
      <c r="AC10" s="5">
        <f>IF(AB10&gt;=0,+AB10,0)</f>
        <v>0</v>
      </c>
      <c r="AD10" s="5">
        <f t="shared" si="8" ref="AD10:AD21">IF(AC10&gt;0,0,IF(AA10&lt;0,0,(-(AB10)*($E10))))</f>
        <v>0</v>
      </c>
      <c r="AE10" s="5">
        <f t="shared" si="9" ref="AE10:AE21">IF(AC10&gt;0,0,IF(AA10&gt;0,0,(-(AB10)*($E10))))</f>
        <v>0</v>
      </c>
      <c r="AF10" s="27">
        <f>IF(AA10&lt;0,AF9+AE10,AF9+Y10+AC10-AD10)</f>
        <v>0</v>
      </c>
    </row>
    <row r="11" spans="1:32" ht="15">
      <c r="A11" s="467">
        <f t="shared" si="0"/>
        <v>3</v>
      </c>
      <c r="B11" s="466" t="s">
        <v>844</v>
      </c>
      <c r="C11" s="462" t="s">
        <v>208</v>
      </c>
      <c r="D11" s="147" t="s">
        <v>814</v>
      </c>
      <c r="E11" s="111">
        <f>307/365</f>
        <v>0.84109589041095889</v>
      </c>
      <c r="F11" s="531">
        <f>+'4b - ADIT Projection Proration'!G11</f>
        <v>-5324</v>
      </c>
      <c r="G11" s="5">
        <f t="shared" si="10" ref="G11:G21">$E11*F11</f>
        <v>-4477.9945205479453</v>
      </c>
      <c r="H11" s="5">
        <f t="shared" si="11" ref="H11:H21">+G11+H10</f>
        <v>-491638.77638204873</v>
      </c>
      <c r="I11" s="60">
        <v>0</v>
      </c>
      <c r="J11" s="5">
        <f t="shared" si="1"/>
        <v>5324</v>
      </c>
      <c r="K11" s="5">
        <f t="shared" si="12" ref="K11:K21">IF(J11&gt;=0,+J11,0)</f>
        <v>5324</v>
      </c>
      <c r="L11" s="5">
        <f t="shared" si="13" ref="L11:L21">IF(K11&gt;0,0,IF(I11&lt;0,0,(-(J11)*($E11))))</f>
        <v>0</v>
      </c>
      <c r="M11" s="5">
        <f t="shared" si="14" ref="M11:M21">IF(K11&gt;0,0,IF(I11&gt;0,0,(-(J11)*($E11))))</f>
        <v>0</v>
      </c>
      <c r="N11" s="27">
        <f t="shared" si="15" ref="N11:N21">IF(I11&lt;0,N10+M11,N10+$G11+K11-L11)</f>
        <v>1283.5945205479447</v>
      </c>
      <c r="O11" s="531">
        <f>+'4b - ADIT Projection Proration'!I11</f>
        <v>0</v>
      </c>
      <c r="P11" s="5">
        <f t="shared" si="2"/>
        <v>0</v>
      </c>
      <c r="Q11" s="5">
        <f t="shared" si="16" ref="Q11:Q21">+P11+Q10</f>
        <v>0</v>
      </c>
      <c r="R11" s="60">
        <v>0</v>
      </c>
      <c r="S11" s="5">
        <f t="shared" si="3"/>
        <v>0</v>
      </c>
      <c r="T11" s="5">
        <f t="shared" si="17" ref="T11:T21">IF(S11&gt;=0,+S11,0)</f>
        <v>0</v>
      </c>
      <c r="U11" s="5">
        <f t="shared" si="4"/>
        <v>0</v>
      </c>
      <c r="V11" s="5">
        <f t="shared" si="5"/>
        <v>0</v>
      </c>
      <c r="W11" s="27">
        <f t="shared" si="18" ref="W11:W21">IF(R11&lt;0,W10+V11,W10+P11+T11-U11)</f>
        <v>0</v>
      </c>
      <c r="X11" s="531">
        <f>+'4b - ADIT Projection Proration'!K11</f>
        <v>0</v>
      </c>
      <c r="Y11" s="5">
        <f t="shared" si="6"/>
        <v>0</v>
      </c>
      <c r="Z11" s="5">
        <f t="shared" si="19" ref="Z11:Z21">+Y11+Z10</f>
        <v>0</v>
      </c>
      <c r="AA11" s="60">
        <v>0</v>
      </c>
      <c r="AB11" s="5">
        <f t="shared" si="7"/>
        <v>0</v>
      </c>
      <c r="AC11" s="5">
        <f t="shared" si="20" ref="AC11:AC21">IF(AB11&gt;=0,+AB11,0)</f>
        <v>0</v>
      </c>
      <c r="AD11" s="5">
        <f t="shared" si="8"/>
        <v>0</v>
      </c>
      <c r="AE11" s="5">
        <f t="shared" si="9"/>
        <v>0</v>
      </c>
      <c r="AF11" s="27">
        <f t="shared" si="21" ref="AF11:AF21">IF(AA11&lt;0,AF10+AE11,AF10+Y11+AC11-AD11)</f>
        <v>0</v>
      </c>
    </row>
    <row r="12" spans="1:32" ht="15">
      <c r="A12" s="467">
        <f t="shared" si="0"/>
        <v>4</v>
      </c>
      <c r="B12" s="466" t="s">
        <v>844</v>
      </c>
      <c r="C12" s="462" t="s">
        <v>748</v>
      </c>
      <c r="D12" s="147" t="s">
        <v>814</v>
      </c>
      <c r="E12" s="111">
        <f>276/365</f>
        <v>0.75616438356164384</v>
      </c>
      <c r="F12" s="531">
        <f>+'4b - ADIT Projection Proration'!G12</f>
        <v>-5324</v>
      </c>
      <c r="G12" s="5">
        <f t="shared" si="10"/>
        <v>-4025.8191780821917</v>
      </c>
      <c r="H12" s="5">
        <f t="shared" si="11"/>
        <v>-495664.5955601309</v>
      </c>
      <c r="I12" s="60">
        <v>0</v>
      </c>
      <c r="J12" s="5">
        <f t="shared" si="1"/>
        <v>5324</v>
      </c>
      <c r="K12" s="5">
        <f t="shared" si="12"/>
        <v>5324</v>
      </c>
      <c r="L12" s="5">
        <f t="shared" si="13"/>
        <v>0</v>
      </c>
      <c r="M12" s="5">
        <f t="shared" si="14"/>
        <v>0</v>
      </c>
      <c r="N12" s="27">
        <f t="shared" si="15"/>
        <v>2581.7753424657531</v>
      </c>
      <c r="O12" s="531">
        <f>+'4b - ADIT Projection Proration'!I12</f>
        <v>0</v>
      </c>
      <c r="P12" s="5">
        <f t="shared" si="2"/>
        <v>0</v>
      </c>
      <c r="Q12" s="5">
        <f t="shared" si="16"/>
        <v>0</v>
      </c>
      <c r="R12" s="60">
        <v>0</v>
      </c>
      <c r="S12" s="5">
        <f t="shared" si="3"/>
        <v>0</v>
      </c>
      <c r="T12" s="5">
        <f t="shared" si="17"/>
        <v>0</v>
      </c>
      <c r="U12" s="5">
        <f t="shared" si="4"/>
        <v>0</v>
      </c>
      <c r="V12" s="5">
        <f t="shared" si="5"/>
        <v>0</v>
      </c>
      <c r="W12" s="27">
        <f t="shared" si="18"/>
        <v>0</v>
      </c>
      <c r="X12" s="531">
        <f>+'4b - ADIT Projection Proration'!K12</f>
        <v>0</v>
      </c>
      <c r="Y12" s="5">
        <f t="shared" si="6"/>
        <v>0</v>
      </c>
      <c r="Z12" s="5">
        <f t="shared" si="19"/>
        <v>0</v>
      </c>
      <c r="AA12" s="60">
        <v>0</v>
      </c>
      <c r="AB12" s="5">
        <f t="shared" si="7"/>
        <v>0</v>
      </c>
      <c r="AC12" s="5">
        <f t="shared" si="20"/>
        <v>0</v>
      </c>
      <c r="AD12" s="5">
        <f t="shared" si="8"/>
        <v>0</v>
      </c>
      <c r="AE12" s="5">
        <f t="shared" si="9"/>
        <v>0</v>
      </c>
      <c r="AF12" s="27">
        <f t="shared" si="21"/>
        <v>0</v>
      </c>
    </row>
    <row r="13" spans="1:32" ht="15">
      <c r="A13" s="467">
        <f t="shared" si="0"/>
        <v>5</v>
      </c>
      <c r="B13" s="466" t="s">
        <v>844</v>
      </c>
      <c r="C13" s="462" t="s">
        <v>210</v>
      </c>
      <c r="D13" s="147" t="s">
        <v>814</v>
      </c>
      <c r="E13" s="111">
        <f>246/365</f>
        <v>0.67397260273972603</v>
      </c>
      <c r="F13" s="531">
        <f>+'4b - ADIT Projection Proration'!G13</f>
        <v>-5324</v>
      </c>
      <c r="G13" s="5">
        <f t="shared" si="10"/>
        <v>-3588.2301369863012</v>
      </c>
      <c r="H13" s="5">
        <f t="shared" si="11"/>
        <v>-499252.82569711719</v>
      </c>
      <c r="I13" s="60">
        <v>0</v>
      </c>
      <c r="J13" s="5">
        <f t="shared" si="1"/>
        <v>5324</v>
      </c>
      <c r="K13" s="5">
        <f t="shared" si="12"/>
        <v>5324</v>
      </c>
      <c r="L13" s="5">
        <f t="shared" si="13"/>
        <v>0</v>
      </c>
      <c r="M13" s="5">
        <f t="shared" si="14"/>
        <v>0</v>
      </c>
      <c r="N13" s="27">
        <f t="shared" si="15"/>
        <v>4317.5452054794514</v>
      </c>
      <c r="O13" s="531">
        <f>+'4b - ADIT Projection Proration'!I13</f>
        <v>0</v>
      </c>
      <c r="P13" s="5">
        <f t="shared" si="2"/>
        <v>0</v>
      </c>
      <c r="Q13" s="5">
        <f t="shared" si="16"/>
        <v>0</v>
      </c>
      <c r="R13" s="60">
        <v>0</v>
      </c>
      <c r="S13" s="5">
        <f t="shared" si="3"/>
        <v>0</v>
      </c>
      <c r="T13" s="5">
        <f t="shared" si="17"/>
        <v>0</v>
      </c>
      <c r="U13" s="5">
        <f t="shared" si="4"/>
        <v>0</v>
      </c>
      <c r="V13" s="5">
        <f t="shared" si="5"/>
        <v>0</v>
      </c>
      <c r="W13" s="27">
        <f t="shared" si="18"/>
        <v>0</v>
      </c>
      <c r="X13" s="531">
        <f>+'4b - ADIT Projection Proration'!K13</f>
        <v>0</v>
      </c>
      <c r="Y13" s="5">
        <f t="shared" si="6"/>
        <v>0</v>
      </c>
      <c r="Z13" s="5">
        <f t="shared" si="19"/>
        <v>0</v>
      </c>
      <c r="AA13" s="60">
        <v>0</v>
      </c>
      <c r="AB13" s="5">
        <f t="shared" si="7"/>
        <v>0</v>
      </c>
      <c r="AC13" s="5">
        <f t="shared" si="20"/>
        <v>0</v>
      </c>
      <c r="AD13" s="5">
        <f t="shared" si="8"/>
        <v>0</v>
      </c>
      <c r="AE13" s="5">
        <f t="shared" si="9"/>
        <v>0</v>
      </c>
      <c r="AF13" s="27">
        <f t="shared" si="21"/>
        <v>0</v>
      </c>
    </row>
    <row r="14" spans="1:32" ht="15">
      <c r="A14" s="467">
        <f t="shared" si="0"/>
        <v>6</v>
      </c>
      <c r="B14" s="466" t="s">
        <v>844</v>
      </c>
      <c r="C14" s="462" t="s">
        <v>211</v>
      </c>
      <c r="D14" s="147" t="s">
        <v>814</v>
      </c>
      <c r="E14" s="111">
        <f>215/365</f>
        <v>0.58904109589041098</v>
      </c>
      <c r="F14" s="531">
        <f>+'4b - ADIT Projection Proration'!G14</f>
        <v>-5323</v>
      </c>
      <c r="G14" s="5">
        <f t="shared" si="10"/>
        <v>-3135.4657534246576</v>
      </c>
      <c r="H14" s="5">
        <f t="shared" si="11"/>
        <v>-502388.29145054187</v>
      </c>
      <c r="I14" s="60">
        <v>0</v>
      </c>
      <c r="J14" s="5">
        <f t="shared" si="1"/>
        <v>5323</v>
      </c>
      <c r="K14" s="5">
        <f t="shared" si="12"/>
        <v>5323</v>
      </c>
      <c r="L14" s="5">
        <f t="shared" si="13"/>
        <v>0</v>
      </c>
      <c r="M14" s="5">
        <f t="shared" si="14"/>
        <v>0</v>
      </c>
      <c r="N14" s="27">
        <f t="shared" si="15"/>
        <v>6505.0794520547934</v>
      </c>
      <c r="O14" s="531">
        <f>+'4b - ADIT Projection Proration'!I14</f>
        <v>0</v>
      </c>
      <c r="P14" s="5">
        <f t="shared" si="2"/>
        <v>0</v>
      </c>
      <c r="Q14" s="5">
        <f t="shared" si="16"/>
        <v>0</v>
      </c>
      <c r="R14" s="60">
        <v>0</v>
      </c>
      <c r="S14" s="5">
        <f t="shared" si="3"/>
        <v>0</v>
      </c>
      <c r="T14" s="5">
        <f t="shared" si="17"/>
        <v>0</v>
      </c>
      <c r="U14" s="5">
        <f t="shared" si="4"/>
        <v>0</v>
      </c>
      <c r="V14" s="5">
        <f t="shared" si="5"/>
        <v>0</v>
      </c>
      <c r="W14" s="27">
        <f t="shared" si="18"/>
        <v>0</v>
      </c>
      <c r="X14" s="531">
        <f>+'4b - ADIT Projection Proration'!K14</f>
        <v>0</v>
      </c>
      <c r="Y14" s="5">
        <f t="shared" si="6"/>
        <v>0</v>
      </c>
      <c r="Z14" s="5">
        <f t="shared" si="19"/>
        <v>0</v>
      </c>
      <c r="AA14" s="60">
        <v>0</v>
      </c>
      <c r="AB14" s="5">
        <f t="shared" si="7"/>
        <v>0</v>
      </c>
      <c r="AC14" s="5">
        <f t="shared" si="20"/>
        <v>0</v>
      </c>
      <c r="AD14" s="5">
        <f t="shared" si="8"/>
        <v>0</v>
      </c>
      <c r="AE14" s="5">
        <f t="shared" si="9"/>
        <v>0</v>
      </c>
      <c r="AF14" s="27">
        <f t="shared" si="21"/>
        <v>0</v>
      </c>
    </row>
    <row r="15" spans="1:32" ht="15">
      <c r="A15" s="467">
        <f t="shared" si="0"/>
        <v>7</v>
      </c>
      <c r="B15" s="466" t="s">
        <v>844</v>
      </c>
      <c r="C15" s="462" t="s">
        <v>212</v>
      </c>
      <c r="D15" s="147" t="s">
        <v>814</v>
      </c>
      <c r="E15" s="111">
        <f>185/365</f>
        <v>0.50684931506849318</v>
      </c>
      <c r="F15" s="531">
        <f>+'4b - ADIT Projection Proration'!G15</f>
        <v>-5323</v>
      </c>
      <c r="G15" s="5">
        <f t="shared" si="10"/>
        <v>-2697.9589041095892</v>
      </c>
      <c r="H15" s="5">
        <f t="shared" si="11"/>
        <v>-505086.25035465148</v>
      </c>
      <c r="I15" s="60">
        <v>0</v>
      </c>
      <c r="J15" s="5">
        <f t="shared" si="1"/>
        <v>5323</v>
      </c>
      <c r="K15" s="5">
        <f t="shared" si="12"/>
        <v>5323</v>
      </c>
      <c r="L15" s="5">
        <f t="shared" si="13"/>
        <v>0</v>
      </c>
      <c r="M15" s="5">
        <f t="shared" si="14"/>
        <v>0</v>
      </c>
      <c r="N15" s="27">
        <f t="shared" si="15"/>
        <v>9130.1205479452037</v>
      </c>
      <c r="O15" s="531">
        <f>+'4b - ADIT Projection Proration'!I15</f>
        <v>0</v>
      </c>
      <c r="P15" s="5">
        <f t="shared" si="2"/>
        <v>0</v>
      </c>
      <c r="Q15" s="5">
        <f t="shared" si="16"/>
        <v>0</v>
      </c>
      <c r="R15" s="60">
        <v>0</v>
      </c>
      <c r="S15" s="5">
        <f t="shared" si="3"/>
        <v>0</v>
      </c>
      <c r="T15" s="5">
        <f t="shared" si="17"/>
        <v>0</v>
      </c>
      <c r="U15" s="5">
        <f t="shared" si="4"/>
        <v>0</v>
      </c>
      <c r="V15" s="5">
        <f t="shared" si="5"/>
        <v>0</v>
      </c>
      <c r="W15" s="27">
        <f t="shared" si="18"/>
        <v>0</v>
      </c>
      <c r="X15" s="531">
        <f>+'4b - ADIT Projection Proration'!K15</f>
        <v>0</v>
      </c>
      <c r="Y15" s="5">
        <f t="shared" si="6"/>
        <v>0</v>
      </c>
      <c r="Z15" s="5">
        <f t="shared" si="19"/>
        <v>0</v>
      </c>
      <c r="AA15" s="60">
        <v>0</v>
      </c>
      <c r="AB15" s="5">
        <f t="shared" si="7"/>
        <v>0</v>
      </c>
      <c r="AC15" s="5">
        <f t="shared" si="20"/>
        <v>0</v>
      </c>
      <c r="AD15" s="5">
        <f t="shared" si="8"/>
        <v>0</v>
      </c>
      <c r="AE15" s="5">
        <f t="shared" si="9"/>
        <v>0</v>
      </c>
      <c r="AF15" s="27">
        <f t="shared" si="21"/>
        <v>0</v>
      </c>
    </row>
    <row r="16" spans="1:32" ht="15">
      <c r="A16" s="467">
        <f t="shared" si="0"/>
        <v>8</v>
      </c>
      <c r="B16" s="466" t="s">
        <v>844</v>
      </c>
      <c r="C16" s="462" t="s">
        <v>213</v>
      </c>
      <c r="D16" s="147" t="s">
        <v>814</v>
      </c>
      <c r="E16" s="111">
        <f>154/365</f>
        <v>0.42191780821917807</v>
      </c>
      <c r="F16" s="531">
        <f>+'4b - ADIT Projection Proration'!G16</f>
        <v>-5323</v>
      </c>
      <c r="G16" s="5">
        <f t="shared" si="10"/>
        <v>-2245.868493150685</v>
      </c>
      <c r="H16" s="5">
        <f t="shared" si="11"/>
        <v>-507332.11884780216</v>
      </c>
      <c r="I16" s="60">
        <v>0</v>
      </c>
      <c r="J16" s="5">
        <f t="shared" si="1"/>
        <v>5323</v>
      </c>
      <c r="K16" s="5">
        <f t="shared" si="12"/>
        <v>5323</v>
      </c>
      <c r="L16" s="5">
        <f t="shared" si="13"/>
        <v>0</v>
      </c>
      <c r="M16" s="5">
        <f t="shared" si="14"/>
        <v>0</v>
      </c>
      <c r="N16" s="27">
        <f t="shared" si="15"/>
        <v>12207.252054794519</v>
      </c>
      <c r="O16" s="531">
        <f>+'4b - ADIT Projection Proration'!I16</f>
        <v>0</v>
      </c>
      <c r="P16" s="5">
        <f t="shared" si="2"/>
        <v>0</v>
      </c>
      <c r="Q16" s="5">
        <f t="shared" si="16"/>
        <v>0</v>
      </c>
      <c r="R16" s="60">
        <v>0</v>
      </c>
      <c r="S16" s="5">
        <f t="shared" si="3"/>
        <v>0</v>
      </c>
      <c r="T16" s="5">
        <f t="shared" si="17"/>
        <v>0</v>
      </c>
      <c r="U16" s="5">
        <f t="shared" si="4"/>
        <v>0</v>
      </c>
      <c r="V16" s="5">
        <f t="shared" si="5"/>
        <v>0</v>
      </c>
      <c r="W16" s="27">
        <f t="shared" si="18"/>
        <v>0</v>
      </c>
      <c r="X16" s="531">
        <f>+'4b - ADIT Projection Proration'!K16</f>
        <v>0</v>
      </c>
      <c r="Y16" s="5">
        <f t="shared" si="6"/>
        <v>0</v>
      </c>
      <c r="Z16" s="5">
        <f t="shared" si="19"/>
        <v>0</v>
      </c>
      <c r="AA16" s="60">
        <v>0</v>
      </c>
      <c r="AB16" s="5">
        <f t="shared" si="7"/>
        <v>0</v>
      </c>
      <c r="AC16" s="5">
        <f t="shared" si="20"/>
        <v>0</v>
      </c>
      <c r="AD16" s="5">
        <f t="shared" si="8"/>
        <v>0</v>
      </c>
      <c r="AE16" s="5">
        <f t="shared" si="9"/>
        <v>0</v>
      </c>
      <c r="AF16" s="27">
        <f t="shared" si="21"/>
        <v>0</v>
      </c>
    </row>
    <row r="17" spans="1:32" ht="15">
      <c r="A17" s="467">
        <f t="shared" si="0"/>
        <v>9</v>
      </c>
      <c r="B17" s="466" t="s">
        <v>844</v>
      </c>
      <c r="C17" s="462" t="s">
        <v>750</v>
      </c>
      <c r="D17" s="147" t="s">
        <v>814</v>
      </c>
      <c r="E17" s="111">
        <f>123/365</f>
        <v>0.33698630136986302</v>
      </c>
      <c r="F17" s="531">
        <f>+'4b - ADIT Projection Proration'!G17</f>
        <v>-5323</v>
      </c>
      <c r="G17" s="5">
        <f t="shared" si="10"/>
        <v>-1793.7780821917809</v>
      </c>
      <c r="H17" s="5">
        <f t="shared" si="11"/>
        <v>-509125.89692999393</v>
      </c>
      <c r="I17" s="60">
        <v>0</v>
      </c>
      <c r="J17" s="5">
        <f t="shared" si="1"/>
        <v>5323</v>
      </c>
      <c r="K17" s="5">
        <f t="shared" si="12"/>
        <v>5323</v>
      </c>
      <c r="L17" s="5">
        <f t="shared" si="13"/>
        <v>0</v>
      </c>
      <c r="M17" s="5">
        <f t="shared" si="14"/>
        <v>0</v>
      </c>
      <c r="N17" s="27">
        <f t="shared" si="15"/>
        <v>15736.473972602738</v>
      </c>
      <c r="O17" s="531">
        <f>+'4b - ADIT Projection Proration'!I17</f>
        <v>0</v>
      </c>
      <c r="P17" s="5">
        <f t="shared" si="2"/>
        <v>0</v>
      </c>
      <c r="Q17" s="5">
        <f t="shared" si="16"/>
        <v>0</v>
      </c>
      <c r="R17" s="60">
        <v>0</v>
      </c>
      <c r="S17" s="5">
        <f t="shared" si="3"/>
        <v>0</v>
      </c>
      <c r="T17" s="5">
        <f t="shared" si="17"/>
        <v>0</v>
      </c>
      <c r="U17" s="5">
        <f t="shared" si="4"/>
        <v>0</v>
      </c>
      <c r="V17" s="5">
        <f t="shared" si="5"/>
        <v>0</v>
      </c>
      <c r="W17" s="27">
        <f t="shared" si="18"/>
        <v>0</v>
      </c>
      <c r="X17" s="531">
        <f>+'4b - ADIT Projection Proration'!K17</f>
        <v>0</v>
      </c>
      <c r="Y17" s="5">
        <f t="shared" si="6"/>
        <v>0</v>
      </c>
      <c r="Z17" s="5">
        <f t="shared" si="19"/>
        <v>0</v>
      </c>
      <c r="AA17" s="60">
        <v>0</v>
      </c>
      <c r="AB17" s="5">
        <f t="shared" si="7"/>
        <v>0</v>
      </c>
      <c r="AC17" s="5">
        <f t="shared" si="20"/>
        <v>0</v>
      </c>
      <c r="AD17" s="5">
        <f t="shared" si="8"/>
        <v>0</v>
      </c>
      <c r="AE17" s="5">
        <f t="shared" si="9"/>
        <v>0</v>
      </c>
      <c r="AF17" s="27">
        <f t="shared" si="21"/>
        <v>0</v>
      </c>
    </row>
    <row r="18" spans="1:32" ht="15">
      <c r="A18" s="467">
        <f t="shared" si="0"/>
        <v>10</v>
      </c>
      <c r="B18" s="466" t="s">
        <v>844</v>
      </c>
      <c r="C18" s="462" t="s">
        <v>215</v>
      </c>
      <c r="D18" s="147" t="s">
        <v>814</v>
      </c>
      <c r="E18" s="111">
        <f>93/365</f>
        <v>0.25479452054794521</v>
      </c>
      <c r="F18" s="531">
        <f>+'4b - ADIT Projection Proration'!G18</f>
        <v>-5323</v>
      </c>
      <c r="G18" s="5">
        <f t="shared" si="10"/>
        <v>-1356.2712328767125</v>
      </c>
      <c r="H18" s="5">
        <f t="shared" si="11"/>
        <v>-510482.16816287063</v>
      </c>
      <c r="I18" s="60">
        <v>0</v>
      </c>
      <c r="J18" s="5">
        <f t="shared" si="1"/>
        <v>5323</v>
      </c>
      <c r="K18" s="5">
        <f t="shared" si="12"/>
        <v>5323</v>
      </c>
      <c r="L18" s="5">
        <f t="shared" si="13"/>
        <v>0</v>
      </c>
      <c r="M18" s="5">
        <f t="shared" si="14"/>
        <v>0</v>
      </c>
      <c r="N18" s="27">
        <f t="shared" si="15"/>
        <v>19703.202739726024</v>
      </c>
      <c r="O18" s="531">
        <f>+'4b - ADIT Projection Proration'!I18</f>
        <v>0</v>
      </c>
      <c r="P18" s="5">
        <f t="shared" si="2"/>
        <v>0</v>
      </c>
      <c r="Q18" s="5">
        <f t="shared" si="16"/>
        <v>0</v>
      </c>
      <c r="R18" s="60">
        <v>0</v>
      </c>
      <c r="S18" s="5">
        <f t="shared" si="3"/>
        <v>0</v>
      </c>
      <c r="T18" s="5">
        <f t="shared" si="17"/>
        <v>0</v>
      </c>
      <c r="U18" s="5">
        <f t="shared" si="4"/>
        <v>0</v>
      </c>
      <c r="V18" s="5">
        <f t="shared" si="5"/>
        <v>0</v>
      </c>
      <c r="W18" s="27">
        <f t="shared" si="18"/>
        <v>0</v>
      </c>
      <c r="X18" s="531">
        <f>+'4b - ADIT Projection Proration'!K18</f>
        <v>0</v>
      </c>
      <c r="Y18" s="5">
        <f t="shared" si="6"/>
        <v>0</v>
      </c>
      <c r="Z18" s="5">
        <f t="shared" si="19"/>
        <v>0</v>
      </c>
      <c r="AA18" s="60">
        <v>0</v>
      </c>
      <c r="AB18" s="5">
        <f t="shared" si="7"/>
        <v>0</v>
      </c>
      <c r="AC18" s="5">
        <f t="shared" si="20"/>
        <v>0</v>
      </c>
      <c r="AD18" s="5">
        <f t="shared" si="8"/>
        <v>0</v>
      </c>
      <c r="AE18" s="5">
        <f t="shared" si="9"/>
        <v>0</v>
      </c>
      <c r="AF18" s="27">
        <f t="shared" si="21"/>
        <v>0</v>
      </c>
    </row>
    <row r="19" spans="1:32" ht="15">
      <c r="A19" s="467">
        <f t="shared" si="0"/>
        <v>11</v>
      </c>
      <c r="B19" s="466" t="s">
        <v>844</v>
      </c>
      <c r="C19" s="462" t="s">
        <v>216</v>
      </c>
      <c r="D19" s="147" t="s">
        <v>814</v>
      </c>
      <c r="E19" s="111">
        <f>62/365</f>
        <v>0.16986301369863013</v>
      </c>
      <c r="F19" s="531">
        <f>+'4b - ADIT Projection Proration'!G19</f>
        <v>-5323</v>
      </c>
      <c r="G19" s="5">
        <f t="shared" si="10"/>
        <v>-904.1808219178082</v>
      </c>
      <c r="H19" s="5">
        <f t="shared" si="11"/>
        <v>-511386.34898478846</v>
      </c>
      <c r="I19" s="60">
        <v>0</v>
      </c>
      <c r="J19" s="5">
        <f t="shared" si="1"/>
        <v>5323</v>
      </c>
      <c r="K19" s="5">
        <f t="shared" si="12"/>
        <v>5323</v>
      </c>
      <c r="L19" s="5">
        <f t="shared" si="13"/>
        <v>0</v>
      </c>
      <c r="M19" s="5">
        <f t="shared" si="14"/>
        <v>0</v>
      </c>
      <c r="N19" s="27">
        <f t="shared" si="15"/>
        <v>24122.021917808215</v>
      </c>
      <c r="O19" s="531">
        <f>+'4b - ADIT Projection Proration'!I19</f>
        <v>0</v>
      </c>
      <c r="P19" s="5">
        <f t="shared" si="2"/>
        <v>0</v>
      </c>
      <c r="Q19" s="5">
        <f t="shared" si="16"/>
        <v>0</v>
      </c>
      <c r="R19" s="60">
        <v>0</v>
      </c>
      <c r="S19" s="5">
        <f t="shared" si="3"/>
        <v>0</v>
      </c>
      <c r="T19" s="5">
        <f t="shared" si="17"/>
        <v>0</v>
      </c>
      <c r="U19" s="5">
        <f t="shared" si="4"/>
        <v>0</v>
      </c>
      <c r="V19" s="5">
        <f t="shared" si="5"/>
        <v>0</v>
      </c>
      <c r="W19" s="27">
        <f t="shared" si="18"/>
        <v>0</v>
      </c>
      <c r="X19" s="531">
        <f>+'4b - ADIT Projection Proration'!K19</f>
        <v>0</v>
      </c>
      <c r="Y19" s="5">
        <f t="shared" si="6"/>
        <v>0</v>
      </c>
      <c r="Z19" s="5">
        <f t="shared" si="19"/>
        <v>0</v>
      </c>
      <c r="AA19" s="60">
        <v>0</v>
      </c>
      <c r="AB19" s="5">
        <f t="shared" si="7"/>
        <v>0</v>
      </c>
      <c r="AC19" s="5">
        <f t="shared" si="20"/>
        <v>0</v>
      </c>
      <c r="AD19" s="5">
        <f t="shared" si="8"/>
        <v>0</v>
      </c>
      <c r="AE19" s="5">
        <f t="shared" si="9"/>
        <v>0</v>
      </c>
      <c r="AF19" s="27">
        <f t="shared" si="21"/>
        <v>0</v>
      </c>
    </row>
    <row r="20" spans="1:32" ht="15">
      <c r="A20" s="467">
        <f t="shared" si="0"/>
        <v>12</v>
      </c>
      <c r="B20" s="466" t="s">
        <v>844</v>
      </c>
      <c r="C20" s="462" t="s">
        <v>217</v>
      </c>
      <c r="D20" s="147" t="s">
        <v>814</v>
      </c>
      <c r="E20" s="111">
        <f>32/365</f>
        <v>0.087671232876712329</v>
      </c>
      <c r="F20" s="531">
        <f>+'4b - ADIT Projection Proration'!G20</f>
        <v>-5323</v>
      </c>
      <c r="G20" s="5">
        <f t="shared" si="10"/>
        <v>-466.67397260273975</v>
      </c>
      <c r="H20" s="5">
        <f t="shared" si="11"/>
        <v>-511853.02295739122</v>
      </c>
      <c r="I20" s="60">
        <v>0</v>
      </c>
      <c r="J20" s="5">
        <f t="shared" si="1"/>
        <v>5323</v>
      </c>
      <c r="K20" s="5">
        <f t="shared" si="12"/>
        <v>5323</v>
      </c>
      <c r="L20" s="5">
        <f t="shared" si="13"/>
        <v>0</v>
      </c>
      <c r="M20" s="5">
        <f t="shared" si="14"/>
        <v>0</v>
      </c>
      <c r="N20" s="27">
        <f t="shared" si="15"/>
        <v>28978.347945205474</v>
      </c>
      <c r="O20" s="531">
        <f>+'4b - ADIT Projection Proration'!I20</f>
        <v>0</v>
      </c>
      <c r="P20" s="5">
        <f t="shared" si="2"/>
        <v>0</v>
      </c>
      <c r="Q20" s="5">
        <f t="shared" si="16"/>
        <v>0</v>
      </c>
      <c r="R20" s="60">
        <v>0</v>
      </c>
      <c r="S20" s="5">
        <f t="shared" si="3"/>
        <v>0</v>
      </c>
      <c r="T20" s="5">
        <f t="shared" si="17"/>
        <v>0</v>
      </c>
      <c r="U20" s="5">
        <f t="shared" si="4"/>
        <v>0</v>
      </c>
      <c r="V20" s="5">
        <f t="shared" si="5"/>
        <v>0</v>
      </c>
      <c r="W20" s="27">
        <f t="shared" si="18"/>
        <v>0</v>
      </c>
      <c r="X20" s="531">
        <f>+'4b - ADIT Projection Proration'!K20</f>
        <v>0</v>
      </c>
      <c r="Y20" s="5">
        <f t="shared" si="6"/>
        <v>0</v>
      </c>
      <c r="Z20" s="5">
        <f t="shared" si="19"/>
        <v>0</v>
      </c>
      <c r="AA20" s="60">
        <v>0</v>
      </c>
      <c r="AB20" s="5">
        <f t="shared" si="7"/>
        <v>0</v>
      </c>
      <c r="AC20" s="5">
        <f t="shared" si="20"/>
        <v>0</v>
      </c>
      <c r="AD20" s="5">
        <f t="shared" si="8"/>
        <v>0</v>
      </c>
      <c r="AE20" s="5">
        <f t="shared" si="9"/>
        <v>0</v>
      </c>
      <c r="AF20" s="27">
        <f t="shared" si="21"/>
        <v>0</v>
      </c>
    </row>
    <row r="21" spans="1:32" ht="15">
      <c r="A21" s="467">
        <f t="shared" si="0"/>
        <v>13</v>
      </c>
      <c r="B21" s="466" t="s">
        <v>844</v>
      </c>
      <c r="C21" s="462" t="s">
        <v>751</v>
      </c>
      <c r="D21" s="147" t="s">
        <v>814</v>
      </c>
      <c r="E21" s="111">
        <f>1/365</f>
        <v>0.0027397260273972603</v>
      </c>
      <c r="F21" s="531">
        <f>+'4b - ADIT Projection Proration'!G21</f>
        <v>-5323</v>
      </c>
      <c r="G21" s="532">
        <f t="shared" si="10"/>
        <v>-14.583561643835617</v>
      </c>
      <c r="H21" s="532">
        <f t="shared" si="11"/>
        <v>-511867.60651903506</v>
      </c>
      <c r="I21" s="151">
        <v>0</v>
      </c>
      <c r="J21" s="532">
        <f t="shared" si="1"/>
        <v>5323</v>
      </c>
      <c r="K21" s="532">
        <f t="shared" si="12"/>
        <v>5323</v>
      </c>
      <c r="L21" s="532">
        <f t="shared" si="13"/>
        <v>0</v>
      </c>
      <c r="M21" s="532">
        <f t="shared" si="14"/>
        <v>0</v>
      </c>
      <c r="N21" s="533">
        <f t="shared" si="15"/>
        <v>34286.76438356164</v>
      </c>
      <c r="O21" s="531">
        <f>+'4b - ADIT Projection Proration'!I21</f>
        <v>0</v>
      </c>
      <c r="P21" s="532">
        <f t="shared" si="2"/>
        <v>0</v>
      </c>
      <c r="Q21" s="532">
        <f t="shared" si="16"/>
        <v>0</v>
      </c>
      <c r="R21" s="151">
        <v>0</v>
      </c>
      <c r="S21" s="532">
        <f t="shared" si="3"/>
        <v>0</v>
      </c>
      <c r="T21" s="532">
        <f t="shared" si="17"/>
        <v>0</v>
      </c>
      <c r="U21" s="532">
        <f t="shared" si="4"/>
        <v>0</v>
      </c>
      <c r="V21" s="532">
        <f t="shared" si="5"/>
        <v>0</v>
      </c>
      <c r="W21" s="533">
        <f t="shared" si="18"/>
        <v>0</v>
      </c>
      <c r="X21" s="531">
        <f>+'4b - ADIT Projection Proration'!K21</f>
        <v>0</v>
      </c>
      <c r="Y21" s="532">
        <f t="shared" si="6"/>
        <v>0</v>
      </c>
      <c r="Z21" s="532">
        <f t="shared" si="19"/>
        <v>0</v>
      </c>
      <c r="AA21" s="151">
        <v>0</v>
      </c>
      <c r="AB21" s="532">
        <f t="shared" si="7"/>
        <v>0</v>
      </c>
      <c r="AC21" s="532">
        <f t="shared" si="20"/>
        <v>0</v>
      </c>
      <c r="AD21" s="532">
        <f t="shared" si="8"/>
        <v>0</v>
      </c>
      <c r="AE21" s="532">
        <f t="shared" si="9"/>
        <v>0</v>
      </c>
      <c r="AF21" s="533">
        <f t="shared" si="21"/>
        <v>0</v>
      </c>
    </row>
    <row r="22" spans="1:32" ht="15">
      <c r="A22" s="467">
        <f t="shared" si="0"/>
        <v>14</v>
      </c>
      <c r="B22" s="466" t="s">
        <v>845</v>
      </c>
      <c r="C22" s="462"/>
      <c r="D22" s="5"/>
      <c r="E22" s="462"/>
      <c r="F22" s="531">
        <f t="shared" si="22" ref="F22:M22">SUM(F9:F21)</f>
        <v>-63880</v>
      </c>
      <c r="G22" s="5">
        <f t="shared" si="22"/>
        <v>-29593.23561643836</v>
      </c>
      <c r="H22" s="5"/>
      <c r="I22" s="5">
        <f t="shared" si="22"/>
        <v>0</v>
      </c>
      <c r="J22" s="5">
        <f t="shared" si="22"/>
        <v>63880</v>
      </c>
      <c r="K22" s="5">
        <f t="shared" si="22"/>
        <v>63880</v>
      </c>
      <c r="L22" s="5">
        <f t="shared" si="22"/>
        <v>0</v>
      </c>
      <c r="M22" s="5">
        <f t="shared" si="22"/>
        <v>0</v>
      </c>
      <c r="N22" s="27"/>
      <c r="O22" s="531">
        <f t="shared" si="23" ref="O22:P22">SUM(O9:O21)</f>
        <v>0</v>
      </c>
      <c r="P22" s="5">
        <f t="shared" si="23"/>
        <v>0</v>
      </c>
      <c r="Q22" s="5"/>
      <c r="R22" s="5">
        <f t="shared" si="24" ref="R22:V22">SUM(R9:R21)</f>
        <v>0</v>
      </c>
      <c r="S22" s="5">
        <f t="shared" si="24"/>
        <v>0</v>
      </c>
      <c r="T22" s="5">
        <f t="shared" si="24"/>
        <v>0</v>
      </c>
      <c r="U22" s="5">
        <f t="shared" si="24"/>
        <v>0</v>
      </c>
      <c r="V22" s="5">
        <f t="shared" si="24"/>
        <v>0</v>
      </c>
      <c r="W22" s="27"/>
      <c r="X22" s="531">
        <f t="shared" si="25" ref="X22:Y22">SUM(X9:X21)</f>
        <v>0</v>
      </c>
      <c r="Y22" s="5">
        <f t="shared" si="25"/>
        <v>0</v>
      </c>
      <c r="Z22" s="5"/>
      <c r="AA22" s="5">
        <f t="shared" si="26" ref="AA22:AE22">SUM(AA9:AA21)</f>
        <v>0</v>
      </c>
      <c r="AB22" s="5">
        <f t="shared" si="26"/>
        <v>0</v>
      </c>
      <c r="AC22" s="5">
        <f t="shared" si="26"/>
        <v>0</v>
      </c>
      <c r="AD22" s="5">
        <f t="shared" si="26"/>
        <v>0</v>
      </c>
      <c r="AE22" s="5">
        <f t="shared" si="26"/>
        <v>0</v>
      </c>
      <c r="AF22" s="27"/>
    </row>
    <row r="23" spans="1:32" ht="15">
      <c r="A23" s="467"/>
      <c r="B23" s="466"/>
      <c r="C23" s="462"/>
      <c r="D23" s="462"/>
      <c r="E23" s="462"/>
      <c r="F23" s="531"/>
      <c r="G23" s="5"/>
      <c r="H23" s="5"/>
      <c r="I23" s="5"/>
      <c r="J23" s="5"/>
      <c r="K23" s="5"/>
      <c r="L23" s="5"/>
      <c r="M23" s="5"/>
      <c r="N23" s="27"/>
      <c r="O23" s="531"/>
      <c r="P23" s="5"/>
      <c r="Q23" s="5"/>
      <c r="R23" s="5"/>
      <c r="S23" s="5"/>
      <c r="T23" s="5"/>
      <c r="U23" s="5"/>
      <c r="V23" s="5"/>
      <c r="W23" s="27"/>
      <c r="X23" s="531"/>
      <c r="Y23" s="5"/>
      <c r="Z23" s="5"/>
      <c r="AA23" s="5"/>
      <c r="AB23" s="5"/>
      <c r="AC23" s="5"/>
      <c r="AD23" s="5"/>
      <c r="AE23" s="5"/>
      <c r="AF23" s="27"/>
    </row>
    <row r="24" spans="1:32" ht="15">
      <c r="A24" s="462" t="s">
        <v>910</v>
      </c>
      <c r="B24" s="466"/>
      <c r="C24" s="462"/>
      <c r="D24" s="461"/>
      <c r="E24" s="461"/>
      <c r="F24" s="531"/>
      <c r="G24" s="5"/>
      <c r="H24" s="5"/>
      <c r="I24" s="5"/>
      <c r="J24" s="5"/>
      <c r="K24" s="5"/>
      <c r="L24" s="5"/>
      <c r="M24" s="5"/>
      <c r="N24" s="27"/>
      <c r="O24" s="531"/>
      <c r="P24" s="5"/>
      <c r="Q24" s="5"/>
      <c r="R24" s="5"/>
      <c r="S24" s="5"/>
      <c r="T24" s="5"/>
      <c r="U24" s="5"/>
      <c r="V24" s="5"/>
      <c r="W24" s="27"/>
      <c r="X24" s="531"/>
      <c r="Y24" s="5"/>
      <c r="Z24" s="5"/>
      <c r="AA24" s="5"/>
      <c r="AB24" s="5"/>
      <c r="AC24" s="5"/>
      <c r="AD24" s="5"/>
      <c r="AE24" s="5"/>
      <c r="AF24" s="27"/>
    </row>
    <row r="25" spans="1:32" ht="15">
      <c r="A25" s="467">
        <f>A22+1</f>
        <v>15</v>
      </c>
      <c r="B25" s="466" t="s">
        <v>847</v>
      </c>
      <c r="C25" s="462" t="s">
        <v>751</v>
      </c>
      <c r="D25" s="468" t="s">
        <v>814</v>
      </c>
      <c r="E25" s="111">
        <f>365/365</f>
        <v>1</v>
      </c>
      <c r="F25" s="531"/>
      <c r="G25" s="5"/>
      <c r="H25" s="5">
        <f>+'4c - ADIT BOY'!E75</f>
        <v>-1291</v>
      </c>
      <c r="I25" s="5"/>
      <c r="J25" s="5"/>
      <c r="K25" s="5"/>
      <c r="L25" s="5"/>
      <c r="M25" s="5"/>
      <c r="N25" s="27"/>
      <c r="O25" s="531"/>
      <c r="P25" s="5"/>
      <c r="Q25" s="5">
        <f>+'4c - ADIT BOY'!F75</f>
        <v>0</v>
      </c>
      <c r="R25" s="5"/>
      <c r="S25" s="5"/>
      <c r="T25" s="5"/>
      <c r="U25" s="5"/>
      <c r="V25" s="5"/>
      <c r="W25" s="27"/>
      <c r="X25" s="531"/>
      <c r="Y25" s="5"/>
      <c r="Z25" s="5">
        <f>+'4c - ADIT BOY'!G75</f>
        <v>0</v>
      </c>
      <c r="AA25" s="5"/>
      <c r="AB25" s="5"/>
      <c r="AC25" s="5"/>
      <c r="AD25" s="5"/>
      <c r="AE25" s="5"/>
      <c r="AF25" s="27"/>
    </row>
    <row r="26" spans="1:32" ht="15">
      <c r="A26" s="467">
        <f t="shared" si="27" ref="A26:A38">+A25+1</f>
        <v>16</v>
      </c>
      <c r="B26" s="466" t="s">
        <v>844</v>
      </c>
      <c r="C26" s="462" t="s">
        <v>207</v>
      </c>
      <c r="D26" s="468" t="s">
        <v>814</v>
      </c>
      <c r="E26" s="111">
        <f>335/365</f>
        <v>0.9178082191780822</v>
      </c>
      <c r="F26" s="531">
        <f>+'4b - ADIT Projection Proration'!G26</f>
        <v>102</v>
      </c>
      <c r="G26" s="5">
        <f t="shared" si="28" ref="G26:G37">$E26*F26</f>
        <v>93.61643835616438</v>
      </c>
      <c r="H26" s="5">
        <f t="shared" si="29" ref="H26:H37">+G26+H25</f>
        <v>-1197.3835616438357</v>
      </c>
      <c r="I26" s="60">
        <v>0</v>
      </c>
      <c r="J26" s="5">
        <f t="shared" si="30" ref="J26:J37">I26-F26</f>
        <v>-102</v>
      </c>
      <c r="K26" s="5">
        <f t="shared" si="31" ref="K26:K37">IF(J26&gt;=0,+J26,0)</f>
        <v>0</v>
      </c>
      <c r="L26" s="5">
        <f t="shared" si="32" ref="L26:L37">IF(K26&gt;0,0,IF(I26&lt;0,0,(-(J26)*($E26))))</f>
        <v>93.61643835616438</v>
      </c>
      <c r="M26" s="5">
        <f t="shared" si="33" ref="M26:M37">IF(K26&gt;0,0,IF(I26&gt;0,0,(-(J26)*($E26))))</f>
        <v>93.61643835616438</v>
      </c>
      <c r="N26" s="27">
        <f t="shared" si="34" ref="N26:N37">IF(I26&lt;0,N25+M26,N25+$G26+K26-L26)</f>
        <v>0</v>
      </c>
      <c r="O26" s="531">
        <f>+'4b - ADIT Projection Proration'!I26</f>
        <v>0</v>
      </c>
      <c r="P26" s="5">
        <f t="shared" si="35" ref="P26:P37">$E26*O26</f>
        <v>0</v>
      </c>
      <c r="Q26" s="5">
        <f t="shared" si="36" ref="Q26:Q37">+P26+Q25</f>
        <v>0</v>
      </c>
      <c r="R26" s="60">
        <v>0</v>
      </c>
      <c r="S26" s="5">
        <f t="shared" si="37" ref="S26:S37">R26-O26</f>
        <v>0</v>
      </c>
      <c r="T26" s="5">
        <f t="shared" si="38" ref="T26:T37">IF(S26&gt;=0,+S26,0)</f>
        <v>0</v>
      </c>
      <c r="U26" s="5">
        <f t="shared" si="39" ref="U26:U37">IF(T26&gt;0,0,IF(R26&lt;0,0,(-(S26)*($E26))))</f>
        <v>0</v>
      </c>
      <c r="V26" s="5">
        <f t="shared" si="40" ref="V26:V37">IF(T26&gt;0,0,IF(R26&gt;0,0,(-(S26)*($E26))))</f>
        <v>0</v>
      </c>
      <c r="W26" s="27">
        <f t="shared" si="41" ref="W26:W37">IF(R26&lt;0,W25+V26,W25+P26+T26-U26)</f>
        <v>0</v>
      </c>
      <c r="X26" s="531">
        <f>+'4b - ADIT Projection Proration'!K26</f>
        <v>0</v>
      </c>
      <c r="Y26" s="5">
        <f t="shared" si="42" ref="Y26:Y37">$E26*X26</f>
        <v>0</v>
      </c>
      <c r="Z26" s="5">
        <f t="shared" si="43" ref="Z26:Z37">+Y26+Z25</f>
        <v>0</v>
      </c>
      <c r="AA26" s="60">
        <v>0</v>
      </c>
      <c r="AB26" s="5">
        <f t="shared" si="44" ref="AB26:AB37">AA26-X26</f>
        <v>0</v>
      </c>
      <c r="AC26" s="5">
        <f t="shared" si="45" ref="AC26:AC37">IF(AB26&gt;=0,+AB26,0)</f>
        <v>0</v>
      </c>
      <c r="AD26" s="5">
        <f t="shared" si="46" ref="AD26:AD37">IF(AC26&gt;0,0,IF(AA26&lt;0,0,(-(AB26)*($E26))))</f>
        <v>0</v>
      </c>
      <c r="AE26" s="5">
        <f t="shared" si="47" ref="AE26:AE37">IF(AC26&gt;0,0,IF(AA26&gt;0,0,(-(AB26)*($E26))))</f>
        <v>0</v>
      </c>
      <c r="AF26" s="27">
        <f t="shared" si="48" ref="AF26:AF37">IF(AA26&lt;0,AF25+AE26,AF25+Y26+AC26-AD26)</f>
        <v>0</v>
      </c>
    </row>
    <row r="27" spans="1:32" ht="15">
      <c r="A27" s="467">
        <f t="shared" si="27"/>
        <v>17</v>
      </c>
      <c r="B27" s="466" t="s">
        <v>844</v>
      </c>
      <c r="C27" s="462" t="s">
        <v>208</v>
      </c>
      <c r="D27" s="468" t="s">
        <v>814</v>
      </c>
      <c r="E27" s="111">
        <f>307/365</f>
        <v>0.84109589041095889</v>
      </c>
      <c r="F27" s="531">
        <f>+'4b - ADIT Projection Proration'!G27</f>
        <v>102</v>
      </c>
      <c r="G27" s="5">
        <f t="shared" si="28"/>
        <v>85.791780821917811</v>
      </c>
      <c r="H27" s="5">
        <f t="shared" si="29"/>
        <v>-1111.5917808219178</v>
      </c>
      <c r="I27" s="60">
        <v>0</v>
      </c>
      <c r="J27" s="5">
        <f t="shared" si="30"/>
        <v>-102</v>
      </c>
      <c r="K27" s="5">
        <f t="shared" si="31"/>
        <v>0</v>
      </c>
      <c r="L27" s="5">
        <f t="shared" si="32"/>
        <v>85.791780821917811</v>
      </c>
      <c r="M27" s="5">
        <f t="shared" si="33"/>
        <v>85.791780821917811</v>
      </c>
      <c r="N27" s="27">
        <f t="shared" si="34"/>
        <v>0</v>
      </c>
      <c r="O27" s="531">
        <f>+'4b - ADIT Projection Proration'!I27</f>
        <v>0</v>
      </c>
      <c r="P27" s="5">
        <f t="shared" si="35"/>
        <v>0</v>
      </c>
      <c r="Q27" s="5">
        <f t="shared" si="36"/>
        <v>0</v>
      </c>
      <c r="R27" s="60">
        <v>0</v>
      </c>
      <c r="S27" s="5">
        <f t="shared" si="37"/>
        <v>0</v>
      </c>
      <c r="T27" s="5">
        <f t="shared" si="38"/>
        <v>0</v>
      </c>
      <c r="U27" s="5">
        <f t="shared" si="39"/>
        <v>0</v>
      </c>
      <c r="V27" s="5">
        <f t="shared" si="40"/>
        <v>0</v>
      </c>
      <c r="W27" s="27">
        <f t="shared" si="41"/>
        <v>0</v>
      </c>
      <c r="X27" s="531">
        <f>+'4b - ADIT Projection Proration'!K27</f>
        <v>0</v>
      </c>
      <c r="Y27" s="5">
        <f t="shared" si="42"/>
        <v>0</v>
      </c>
      <c r="Z27" s="5">
        <f t="shared" si="43"/>
        <v>0</v>
      </c>
      <c r="AA27" s="60">
        <v>0</v>
      </c>
      <c r="AB27" s="5">
        <f t="shared" si="44"/>
        <v>0</v>
      </c>
      <c r="AC27" s="5">
        <f t="shared" si="45"/>
        <v>0</v>
      </c>
      <c r="AD27" s="5">
        <f t="shared" si="46"/>
        <v>0</v>
      </c>
      <c r="AE27" s="5">
        <f t="shared" si="47"/>
        <v>0</v>
      </c>
      <c r="AF27" s="27">
        <f t="shared" si="48"/>
        <v>0</v>
      </c>
    </row>
    <row r="28" spans="1:32" ht="15">
      <c r="A28" s="467">
        <f t="shared" si="27"/>
        <v>18</v>
      </c>
      <c r="B28" s="466" t="s">
        <v>844</v>
      </c>
      <c r="C28" s="462" t="s">
        <v>748</v>
      </c>
      <c r="D28" s="468" t="s">
        <v>814</v>
      </c>
      <c r="E28" s="111">
        <f>276/365</f>
        <v>0.75616438356164384</v>
      </c>
      <c r="F28" s="531">
        <f>+'4b - ADIT Projection Proration'!G28</f>
        <v>102</v>
      </c>
      <c r="G28" s="5">
        <f t="shared" si="28"/>
        <v>77.128767123287673</v>
      </c>
      <c r="H28" s="5">
        <f t="shared" si="29"/>
        <v>-1034.4630136986302</v>
      </c>
      <c r="I28" s="60">
        <v>0</v>
      </c>
      <c r="J28" s="5">
        <f t="shared" si="30"/>
        <v>-102</v>
      </c>
      <c r="K28" s="5">
        <f t="shared" si="31"/>
        <v>0</v>
      </c>
      <c r="L28" s="5">
        <f t="shared" si="32"/>
        <v>77.128767123287673</v>
      </c>
      <c r="M28" s="5">
        <f t="shared" si="33"/>
        <v>77.128767123287673</v>
      </c>
      <c r="N28" s="27">
        <f t="shared" si="34"/>
        <v>0</v>
      </c>
      <c r="O28" s="531">
        <f>+'4b - ADIT Projection Proration'!I28</f>
        <v>0</v>
      </c>
      <c r="P28" s="5">
        <f t="shared" si="35"/>
        <v>0</v>
      </c>
      <c r="Q28" s="5">
        <f t="shared" si="36"/>
        <v>0</v>
      </c>
      <c r="R28" s="60">
        <v>0</v>
      </c>
      <c r="S28" s="5">
        <f t="shared" si="37"/>
        <v>0</v>
      </c>
      <c r="T28" s="5">
        <f t="shared" si="38"/>
        <v>0</v>
      </c>
      <c r="U28" s="5">
        <f t="shared" si="39"/>
        <v>0</v>
      </c>
      <c r="V28" s="5">
        <f t="shared" si="40"/>
        <v>0</v>
      </c>
      <c r="W28" s="27">
        <f t="shared" si="41"/>
        <v>0</v>
      </c>
      <c r="X28" s="531">
        <f>+'4b - ADIT Projection Proration'!K28</f>
        <v>0</v>
      </c>
      <c r="Y28" s="5">
        <f t="shared" si="42"/>
        <v>0</v>
      </c>
      <c r="Z28" s="5">
        <f t="shared" si="43"/>
        <v>0</v>
      </c>
      <c r="AA28" s="60">
        <v>0</v>
      </c>
      <c r="AB28" s="5">
        <f t="shared" si="44"/>
        <v>0</v>
      </c>
      <c r="AC28" s="5">
        <f t="shared" si="45"/>
        <v>0</v>
      </c>
      <c r="AD28" s="5">
        <f t="shared" si="46"/>
        <v>0</v>
      </c>
      <c r="AE28" s="5">
        <f t="shared" si="47"/>
        <v>0</v>
      </c>
      <c r="AF28" s="27">
        <f t="shared" si="48"/>
        <v>0</v>
      </c>
    </row>
    <row r="29" spans="1:32" ht="15">
      <c r="A29" s="467">
        <f t="shared" si="27"/>
        <v>19</v>
      </c>
      <c r="B29" s="466" t="s">
        <v>844</v>
      </c>
      <c r="C29" s="462" t="s">
        <v>210</v>
      </c>
      <c r="D29" s="468" t="s">
        <v>814</v>
      </c>
      <c r="E29" s="111">
        <f>246/365</f>
        <v>0.67397260273972603</v>
      </c>
      <c r="F29" s="531">
        <f>+'4b - ADIT Projection Proration'!G29</f>
        <v>102</v>
      </c>
      <c r="G29" s="5">
        <f t="shared" si="28"/>
        <v>68.745205479452054</v>
      </c>
      <c r="H29" s="5">
        <f t="shared" si="29"/>
        <v>-965.71780821917821</v>
      </c>
      <c r="I29" s="60">
        <v>0</v>
      </c>
      <c r="J29" s="5">
        <f t="shared" si="30"/>
        <v>-102</v>
      </c>
      <c r="K29" s="5">
        <f t="shared" si="31"/>
        <v>0</v>
      </c>
      <c r="L29" s="5">
        <f t="shared" si="32"/>
        <v>68.745205479452054</v>
      </c>
      <c r="M29" s="5">
        <f t="shared" si="33"/>
        <v>68.745205479452054</v>
      </c>
      <c r="N29" s="27">
        <f t="shared" si="34"/>
        <v>0</v>
      </c>
      <c r="O29" s="531">
        <f>+'4b - ADIT Projection Proration'!I29</f>
        <v>0</v>
      </c>
      <c r="P29" s="5">
        <f t="shared" si="35"/>
        <v>0</v>
      </c>
      <c r="Q29" s="5">
        <f t="shared" si="36"/>
        <v>0</v>
      </c>
      <c r="R29" s="60">
        <v>0</v>
      </c>
      <c r="S29" s="5">
        <f t="shared" si="37"/>
        <v>0</v>
      </c>
      <c r="T29" s="5">
        <f t="shared" si="38"/>
        <v>0</v>
      </c>
      <c r="U29" s="5">
        <f t="shared" si="39"/>
        <v>0</v>
      </c>
      <c r="V29" s="5">
        <f t="shared" si="40"/>
        <v>0</v>
      </c>
      <c r="W29" s="27">
        <f t="shared" si="41"/>
        <v>0</v>
      </c>
      <c r="X29" s="531">
        <f>+'4b - ADIT Projection Proration'!K29</f>
        <v>0</v>
      </c>
      <c r="Y29" s="5">
        <f t="shared" si="42"/>
        <v>0</v>
      </c>
      <c r="Z29" s="5">
        <f t="shared" si="43"/>
        <v>0</v>
      </c>
      <c r="AA29" s="60">
        <v>0</v>
      </c>
      <c r="AB29" s="5">
        <f t="shared" si="44"/>
        <v>0</v>
      </c>
      <c r="AC29" s="5">
        <f t="shared" si="45"/>
        <v>0</v>
      </c>
      <c r="AD29" s="5">
        <f t="shared" si="46"/>
        <v>0</v>
      </c>
      <c r="AE29" s="5">
        <f t="shared" si="47"/>
        <v>0</v>
      </c>
      <c r="AF29" s="27">
        <f t="shared" si="48"/>
        <v>0</v>
      </c>
    </row>
    <row r="30" spans="1:32" ht="15">
      <c r="A30" s="467">
        <f t="shared" si="27"/>
        <v>20</v>
      </c>
      <c r="B30" s="466" t="s">
        <v>844</v>
      </c>
      <c r="C30" s="462" t="s">
        <v>211</v>
      </c>
      <c r="D30" s="468" t="s">
        <v>814</v>
      </c>
      <c r="E30" s="111">
        <f>215/365</f>
        <v>0.58904109589041098</v>
      </c>
      <c r="F30" s="531">
        <f>+'4b - ADIT Projection Proration'!G30</f>
        <v>102</v>
      </c>
      <c r="G30" s="5">
        <f t="shared" si="28"/>
        <v>60.082191780821923</v>
      </c>
      <c r="H30" s="5">
        <f t="shared" si="29"/>
        <v>-905.63561643835624</v>
      </c>
      <c r="I30" s="60">
        <v>0</v>
      </c>
      <c r="J30" s="5">
        <f t="shared" si="30"/>
        <v>-102</v>
      </c>
      <c r="K30" s="5">
        <f t="shared" si="31"/>
        <v>0</v>
      </c>
      <c r="L30" s="5">
        <f t="shared" si="32"/>
        <v>60.082191780821923</v>
      </c>
      <c r="M30" s="5">
        <f t="shared" si="33"/>
        <v>60.082191780821923</v>
      </c>
      <c r="N30" s="27">
        <f t="shared" si="34"/>
        <v>0</v>
      </c>
      <c r="O30" s="531">
        <f>+'4b - ADIT Projection Proration'!I30</f>
        <v>0</v>
      </c>
      <c r="P30" s="5">
        <f t="shared" si="35"/>
        <v>0</v>
      </c>
      <c r="Q30" s="5">
        <f t="shared" si="36"/>
        <v>0</v>
      </c>
      <c r="R30" s="60">
        <v>0</v>
      </c>
      <c r="S30" s="5">
        <f t="shared" si="37"/>
        <v>0</v>
      </c>
      <c r="T30" s="5">
        <f t="shared" si="38"/>
        <v>0</v>
      </c>
      <c r="U30" s="5">
        <f t="shared" si="39"/>
        <v>0</v>
      </c>
      <c r="V30" s="5">
        <f t="shared" si="40"/>
        <v>0</v>
      </c>
      <c r="W30" s="27">
        <f t="shared" si="41"/>
        <v>0</v>
      </c>
      <c r="X30" s="531">
        <f>+'4b - ADIT Projection Proration'!K30</f>
        <v>0</v>
      </c>
      <c r="Y30" s="5">
        <f t="shared" si="42"/>
        <v>0</v>
      </c>
      <c r="Z30" s="5">
        <f t="shared" si="43"/>
        <v>0</v>
      </c>
      <c r="AA30" s="60">
        <v>0</v>
      </c>
      <c r="AB30" s="5">
        <f t="shared" si="44"/>
        <v>0</v>
      </c>
      <c r="AC30" s="5">
        <f t="shared" si="45"/>
        <v>0</v>
      </c>
      <c r="AD30" s="5">
        <f t="shared" si="46"/>
        <v>0</v>
      </c>
      <c r="AE30" s="5">
        <f t="shared" si="47"/>
        <v>0</v>
      </c>
      <c r="AF30" s="27">
        <f t="shared" si="48"/>
        <v>0</v>
      </c>
    </row>
    <row r="31" spans="1:32" ht="15">
      <c r="A31" s="467">
        <f t="shared" si="27"/>
        <v>21</v>
      </c>
      <c r="B31" s="466" t="s">
        <v>844</v>
      </c>
      <c r="C31" s="462" t="s">
        <v>212</v>
      </c>
      <c r="D31" s="468" t="s">
        <v>814</v>
      </c>
      <c r="E31" s="111">
        <f>185/365</f>
        <v>0.50684931506849318</v>
      </c>
      <c r="F31" s="531">
        <f>+'4b - ADIT Projection Proration'!G31</f>
        <v>102</v>
      </c>
      <c r="G31" s="5">
        <f t="shared" si="28"/>
        <v>51.698630136986303</v>
      </c>
      <c r="H31" s="5">
        <f t="shared" si="29"/>
        <v>-853.93698630136998</v>
      </c>
      <c r="I31" s="60">
        <v>0</v>
      </c>
      <c r="J31" s="5">
        <f t="shared" si="30"/>
        <v>-102</v>
      </c>
      <c r="K31" s="5">
        <f t="shared" si="31"/>
        <v>0</v>
      </c>
      <c r="L31" s="5">
        <f t="shared" si="32"/>
        <v>51.698630136986303</v>
      </c>
      <c r="M31" s="5">
        <f t="shared" si="33"/>
        <v>51.698630136986303</v>
      </c>
      <c r="N31" s="27">
        <f t="shared" si="34"/>
        <v>0</v>
      </c>
      <c r="O31" s="531">
        <f>+'4b - ADIT Projection Proration'!I31</f>
        <v>0</v>
      </c>
      <c r="P31" s="5">
        <f t="shared" si="35"/>
        <v>0</v>
      </c>
      <c r="Q31" s="5">
        <f t="shared" si="36"/>
        <v>0</v>
      </c>
      <c r="R31" s="60">
        <v>0</v>
      </c>
      <c r="S31" s="5">
        <f t="shared" si="37"/>
        <v>0</v>
      </c>
      <c r="T31" s="5">
        <f t="shared" si="38"/>
        <v>0</v>
      </c>
      <c r="U31" s="5">
        <f t="shared" si="39"/>
        <v>0</v>
      </c>
      <c r="V31" s="5">
        <f t="shared" si="40"/>
        <v>0</v>
      </c>
      <c r="W31" s="27">
        <f t="shared" si="41"/>
        <v>0</v>
      </c>
      <c r="X31" s="531">
        <f>+'4b - ADIT Projection Proration'!K31</f>
        <v>0</v>
      </c>
      <c r="Y31" s="5">
        <f t="shared" si="42"/>
        <v>0</v>
      </c>
      <c r="Z31" s="5">
        <f t="shared" si="43"/>
        <v>0</v>
      </c>
      <c r="AA31" s="60">
        <v>0</v>
      </c>
      <c r="AB31" s="5">
        <f t="shared" si="44"/>
        <v>0</v>
      </c>
      <c r="AC31" s="5">
        <f t="shared" si="45"/>
        <v>0</v>
      </c>
      <c r="AD31" s="5">
        <f t="shared" si="46"/>
        <v>0</v>
      </c>
      <c r="AE31" s="5">
        <f t="shared" si="47"/>
        <v>0</v>
      </c>
      <c r="AF31" s="27">
        <f t="shared" si="48"/>
        <v>0</v>
      </c>
    </row>
    <row r="32" spans="1:32" ht="15">
      <c r="A32" s="467">
        <f t="shared" si="27"/>
        <v>22</v>
      </c>
      <c r="B32" s="466" t="s">
        <v>844</v>
      </c>
      <c r="C32" s="462" t="s">
        <v>213</v>
      </c>
      <c r="D32" s="468" t="s">
        <v>814</v>
      </c>
      <c r="E32" s="111">
        <f>154/365</f>
        <v>0.42191780821917807</v>
      </c>
      <c r="F32" s="531">
        <f>+'4b - ADIT Projection Proration'!G32</f>
        <v>103</v>
      </c>
      <c r="G32" s="5">
        <f t="shared" si="28"/>
        <v>43.457534246575342</v>
      </c>
      <c r="H32" s="5">
        <f t="shared" si="29"/>
        <v>-810.47945205479459</v>
      </c>
      <c r="I32" s="60">
        <v>0</v>
      </c>
      <c r="J32" s="5">
        <f t="shared" si="30"/>
        <v>-103</v>
      </c>
      <c r="K32" s="5">
        <f t="shared" si="31"/>
        <v>0</v>
      </c>
      <c r="L32" s="5">
        <f t="shared" si="32"/>
        <v>43.457534246575342</v>
      </c>
      <c r="M32" s="5">
        <f t="shared" si="33"/>
        <v>43.457534246575342</v>
      </c>
      <c r="N32" s="27">
        <f t="shared" si="34"/>
        <v>0</v>
      </c>
      <c r="O32" s="531">
        <f>+'4b - ADIT Projection Proration'!I32</f>
        <v>0</v>
      </c>
      <c r="P32" s="5">
        <f t="shared" si="35"/>
        <v>0</v>
      </c>
      <c r="Q32" s="5">
        <f t="shared" si="36"/>
        <v>0</v>
      </c>
      <c r="R32" s="60">
        <v>0</v>
      </c>
      <c r="S32" s="5">
        <f t="shared" si="37"/>
        <v>0</v>
      </c>
      <c r="T32" s="5">
        <f t="shared" si="38"/>
        <v>0</v>
      </c>
      <c r="U32" s="5">
        <f t="shared" si="39"/>
        <v>0</v>
      </c>
      <c r="V32" s="5">
        <f t="shared" si="40"/>
        <v>0</v>
      </c>
      <c r="W32" s="27">
        <f t="shared" si="41"/>
        <v>0</v>
      </c>
      <c r="X32" s="531">
        <f>+'4b - ADIT Projection Proration'!K32</f>
        <v>0</v>
      </c>
      <c r="Y32" s="5">
        <f t="shared" si="42"/>
        <v>0</v>
      </c>
      <c r="Z32" s="5">
        <f t="shared" si="43"/>
        <v>0</v>
      </c>
      <c r="AA32" s="60">
        <v>0</v>
      </c>
      <c r="AB32" s="5">
        <f t="shared" si="44"/>
        <v>0</v>
      </c>
      <c r="AC32" s="5">
        <f t="shared" si="45"/>
        <v>0</v>
      </c>
      <c r="AD32" s="5">
        <f t="shared" si="46"/>
        <v>0</v>
      </c>
      <c r="AE32" s="5">
        <f t="shared" si="47"/>
        <v>0</v>
      </c>
      <c r="AF32" s="27">
        <f t="shared" si="48"/>
        <v>0</v>
      </c>
    </row>
    <row r="33" spans="1:32" ht="15">
      <c r="A33" s="467">
        <f t="shared" si="27"/>
        <v>23</v>
      </c>
      <c r="B33" s="466" t="s">
        <v>844</v>
      </c>
      <c r="C33" s="462" t="s">
        <v>750</v>
      </c>
      <c r="D33" s="468" t="s">
        <v>814</v>
      </c>
      <c r="E33" s="111">
        <f>123/365</f>
        <v>0.33698630136986302</v>
      </c>
      <c r="F33" s="531">
        <f>+'4b - ADIT Projection Proration'!G33</f>
        <v>103</v>
      </c>
      <c r="G33" s="5">
        <f t="shared" si="28"/>
        <v>34.709589041095889</v>
      </c>
      <c r="H33" s="5">
        <f t="shared" si="29"/>
        <v>-775.76986301369868</v>
      </c>
      <c r="I33" s="60">
        <v>0</v>
      </c>
      <c r="J33" s="5">
        <f t="shared" si="30"/>
        <v>-103</v>
      </c>
      <c r="K33" s="5">
        <f t="shared" si="31"/>
        <v>0</v>
      </c>
      <c r="L33" s="5">
        <f t="shared" si="32"/>
        <v>34.709589041095889</v>
      </c>
      <c r="M33" s="5">
        <f t="shared" si="33"/>
        <v>34.709589041095889</v>
      </c>
      <c r="N33" s="27">
        <f t="shared" si="34"/>
        <v>0</v>
      </c>
      <c r="O33" s="531">
        <f>+'4b - ADIT Projection Proration'!I33</f>
        <v>0</v>
      </c>
      <c r="P33" s="5">
        <f t="shared" si="35"/>
        <v>0</v>
      </c>
      <c r="Q33" s="5">
        <f t="shared" si="36"/>
        <v>0</v>
      </c>
      <c r="R33" s="60">
        <v>0</v>
      </c>
      <c r="S33" s="5">
        <f t="shared" si="37"/>
        <v>0</v>
      </c>
      <c r="T33" s="5">
        <f t="shared" si="38"/>
        <v>0</v>
      </c>
      <c r="U33" s="5">
        <f t="shared" si="39"/>
        <v>0</v>
      </c>
      <c r="V33" s="5">
        <f t="shared" si="40"/>
        <v>0</v>
      </c>
      <c r="W33" s="27">
        <f t="shared" si="41"/>
        <v>0</v>
      </c>
      <c r="X33" s="531">
        <f>+'4b - ADIT Projection Proration'!K33</f>
        <v>0</v>
      </c>
      <c r="Y33" s="5">
        <f t="shared" si="42"/>
        <v>0</v>
      </c>
      <c r="Z33" s="5">
        <f t="shared" si="43"/>
        <v>0</v>
      </c>
      <c r="AA33" s="60">
        <v>0</v>
      </c>
      <c r="AB33" s="5">
        <f t="shared" si="44"/>
        <v>0</v>
      </c>
      <c r="AC33" s="5">
        <f t="shared" si="45"/>
        <v>0</v>
      </c>
      <c r="AD33" s="5">
        <f t="shared" si="46"/>
        <v>0</v>
      </c>
      <c r="AE33" s="5">
        <f t="shared" si="47"/>
        <v>0</v>
      </c>
      <c r="AF33" s="27">
        <f t="shared" si="48"/>
        <v>0</v>
      </c>
    </row>
    <row r="34" spans="1:32" ht="15">
      <c r="A34" s="467">
        <f t="shared" si="27"/>
        <v>24</v>
      </c>
      <c r="B34" s="466" t="s">
        <v>844</v>
      </c>
      <c r="C34" s="462" t="s">
        <v>215</v>
      </c>
      <c r="D34" s="468" t="s">
        <v>814</v>
      </c>
      <c r="E34" s="111">
        <f>93/365</f>
        <v>0.25479452054794521</v>
      </c>
      <c r="F34" s="531">
        <f>+'4b - ADIT Projection Proration'!G34</f>
        <v>103</v>
      </c>
      <c r="G34" s="5">
        <f t="shared" si="28"/>
        <v>26.243835616438357</v>
      </c>
      <c r="H34" s="5">
        <f t="shared" si="29"/>
        <v>-749.52602739726035</v>
      </c>
      <c r="I34" s="60">
        <v>0</v>
      </c>
      <c r="J34" s="5">
        <f t="shared" si="30"/>
        <v>-103</v>
      </c>
      <c r="K34" s="5">
        <f t="shared" si="31"/>
        <v>0</v>
      </c>
      <c r="L34" s="5">
        <f t="shared" si="32"/>
        <v>26.243835616438357</v>
      </c>
      <c r="M34" s="5">
        <f t="shared" si="33"/>
        <v>26.243835616438357</v>
      </c>
      <c r="N34" s="27">
        <f t="shared" si="34"/>
        <v>0</v>
      </c>
      <c r="O34" s="531">
        <f>+'4b - ADIT Projection Proration'!I34</f>
        <v>0</v>
      </c>
      <c r="P34" s="5">
        <f t="shared" si="35"/>
        <v>0</v>
      </c>
      <c r="Q34" s="5">
        <f t="shared" si="36"/>
        <v>0</v>
      </c>
      <c r="R34" s="60">
        <v>0</v>
      </c>
      <c r="S34" s="5">
        <f t="shared" si="37"/>
        <v>0</v>
      </c>
      <c r="T34" s="5">
        <f t="shared" si="38"/>
        <v>0</v>
      </c>
      <c r="U34" s="5">
        <f t="shared" si="39"/>
        <v>0</v>
      </c>
      <c r="V34" s="5">
        <f t="shared" si="40"/>
        <v>0</v>
      </c>
      <c r="W34" s="27">
        <f t="shared" si="41"/>
        <v>0</v>
      </c>
      <c r="X34" s="531">
        <f>+'4b - ADIT Projection Proration'!K34</f>
        <v>0</v>
      </c>
      <c r="Y34" s="5">
        <f t="shared" si="42"/>
        <v>0</v>
      </c>
      <c r="Z34" s="5">
        <f t="shared" si="43"/>
        <v>0</v>
      </c>
      <c r="AA34" s="60">
        <v>0</v>
      </c>
      <c r="AB34" s="5">
        <f t="shared" si="44"/>
        <v>0</v>
      </c>
      <c r="AC34" s="5">
        <f t="shared" si="45"/>
        <v>0</v>
      </c>
      <c r="AD34" s="5">
        <f t="shared" si="46"/>
        <v>0</v>
      </c>
      <c r="AE34" s="5">
        <f t="shared" si="47"/>
        <v>0</v>
      </c>
      <c r="AF34" s="27">
        <f t="shared" si="48"/>
        <v>0</v>
      </c>
    </row>
    <row r="35" spans="1:32" ht="15">
      <c r="A35" s="467">
        <f t="shared" si="27"/>
        <v>25</v>
      </c>
      <c r="B35" s="466" t="s">
        <v>844</v>
      </c>
      <c r="C35" s="462" t="s">
        <v>216</v>
      </c>
      <c r="D35" s="468" t="s">
        <v>814</v>
      </c>
      <c r="E35" s="111">
        <f>62/365</f>
        <v>0.16986301369863013</v>
      </c>
      <c r="F35" s="531">
        <f>+'4b - ADIT Projection Proration'!G35</f>
        <v>103</v>
      </c>
      <c r="G35" s="5">
        <f t="shared" si="28"/>
        <v>17.495890410958904</v>
      </c>
      <c r="H35" s="5">
        <f t="shared" si="29"/>
        <v>-732.0301369863015</v>
      </c>
      <c r="I35" s="60">
        <v>0</v>
      </c>
      <c r="J35" s="5">
        <f t="shared" si="30"/>
        <v>-103</v>
      </c>
      <c r="K35" s="5">
        <f t="shared" si="31"/>
        <v>0</v>
      </c>
      <c r="L35" s="5">
        <f t="shared" si="32"/>
        <v>17.495890410958904</v>
      </c>
      <c r="M35" s="5">
        <f t="shared" si="33"/>
        <v>17.495890410958904</v>
      </c>
      <c r="N35" s="27">
        <f t="shared" si="34"/>
        <v>0</v>
      </c>
      <c r="O35" s="531">
        <f>+'4b - ADIT Projection Proration'!I35</f>
        <v>0</v>
      </c>
      <c r="P35" s="5">
        <f t="shared" si="35"/>
        <v>0</v>
      </c>
      <c r="Q35" s="5">
        <f t="shared" si="36"/>
        <v>0</v>
      </c>
      <c r="R35" s="60">
        <v>0</v>
      </c>
      <c r="S35" s="5">
        <f t="shared" si="37"/>
        <v>0</v>
      </c>
      <c r="T35" s="5">
        <f t="shared" si="38"/>
        <v>0</v>
      </c>
      <c r="U35" s="5">
        <f t="shared" si="39"/>
        <v>0</v>
      </c>
      <c r="V35" s="5">
        <f t="shared" si="40"/>
        <v>0</v>
      </c>
      <c r="W35" s="27">
        <f t="shared" si="41"/>
        <v>0</v>
      </c>
      <c r="X35" s="531">
        <f>+'4b - ADIT Projection Proration'!K35</f>
        <v>0</v>
      </c>
      <c r="Y35" s="5">
        <f t="shared" si="42"/>
        <v>0</v>
      </c>
      <c r="Z35" s="5">
        <f t="shared" si="43"/>
        <v>0</v>
      </c>
      <c r="AA35" s="60">
        <v>0</v>
      </c>
      <c r="AB35" s="5">
        <f t="shared" si="44"/>
        <v>0</v>
      </c>
      <c r="AC35" s="5">
        <f t="shared" si="45"/>
        <v>0</v>
      </c>
      <c r="AD35" s="5">
        <f t="shared" si="46"/>
        <v>0</v>
      </c>
      <c r="AE35" s="5">
        <f t="shared" si="47"/>
        <v>0</v>
      </c>
      <c r="AF35" s="27">
        <f t="shared" si="48"/>
        <v>0</v>
      </c>
    </row>
    <row r="36" spans="1:32" ht="15">
      <c r="A36" s="467">
        <f t="shared" si="27"/>
        <v>26</v>
      </c>
      <c r="B36" s="466" t="s">
        <v>844</v>
      </c>
      <c r="C36" s="462" t="s">
        <v>217</v>
      </c>
      <c r="D36" s="468" t="s">
        <v>814</v>
      </c>
      <c r="E36" s="111">
        <f>32/365</f>
        <v>0.087671232876712329</v>
      </c>
      <c r="F36" s="531">
        <f>+'4b - ADIT Projection Proration'!G36</f>
        <v>103</v>
      </c>
      <c r="G36" s="5">
        <f t="shared" si="28"/>
        <v>9.0301369863013701</v>
      </c>
      <c r="H36" s="5">
        <f t="shared" si="29"/>
        <v>-723.00000000000011</v>
      </c>
      <c r="I36" s="60">
        <v>0</v>
      </c>
      <c r="J36" s="5">
        <f t="shared" si="30"/>
        <v>-103</v>
      </c>
      <c r="K36" s="5">
        <f t="shared" si="31"/>
        <v>0</v>
      </c>
      <c r="L36" s="5">
        <f t="shared" si="32"/>
        <v>9.0301369863013701</v>
      </c>
      <c r="M36" s="5">
        <f t="shared" si="33"/>
        <v>9.0301369863013701</v>
      </c>
      <c r="N36" s="27">
        <f t="shared" si="34"/>
        <v>0</v>
      </c>
      <c r="O36" s="531">
        <f>+'4b - ADIT Projection Proration'!I36</f>
        <v>0</v>
      </c>
      <c r="P36" s="5">
        <f t="shared" si="35"/>
        <v>0</v>
      </c>
      <c r="Q36" s="5">
        <f t="shared" si="36"/>
        <v>0</v>
      </c>
      <c r="R36" s="60">
        <v>0</v>
      </c>
      <c r="S36" s="5">
        <f t="shared" si="37"/>
        <v>0</v>
      </c>
      <c r="T36" s="5">
        <f t="shared" si="38"/>
        <v>0</v>
      </c>
      <c r="U36" s="5">
        <f t="shared" si="39"/>
        <v>0</v>
      </c>
      <c r="V36" s="5">
        <f t="shared" si="40"/>
        <v>0</v>
      </c>
      <c r="W36" s="27">
        <f t="shared" si="41"/>
        <v>0</v>
      </c>
      <c r="X36" s="531">
        <f>+'4b - ADIT Projection Proration'!K36</f>
        <v>0</v>
      </c>
      <c r="Y36" s="5">
        <f t="shared" si="42"/>
        <v>0</v>
      </c>
      <c r="Z36" s="5">
        <f t="shared" si="43"/>
        <v>0</v>
      </c>
      <c r="AA36" s="60">
        <v>0</v>
      </c>
      <c r="AB36" s="5">
        <f t="shared" si="44"/>
        <v>0</v>
      </c>
      <c r="AC36" s="5">
        <f t="shared" si="45"/>
        <v>0</v>
      </c>
      <c r="AD36" s="5">
        <f t="shared" si="46"/>
        <v>0</v>
      </c>
      <c r="AE36" s="5">
        <f t="shared" si="47"/>
        <v>0</v>
      </c>
      <c r="AF36" s="27">
        <f t="shared" si="48"/>
        <v>0</v>
      </c>
    </row>
    <row r="37" spans="1:32" ht="15">
      <c r="A37" s="467">
        <f t="shared" si="27"/>
        <v>27</v>
      </c>
      <c r="B37" s="466" t="s">
        <v>844</v>
      </c>
      <c r="C37" s="462" t="s">
        <v>751</v>
      </c>
      <c r="D37" s="468" t="s">
        <v>814</v>
      </c>
      <c r="E37" s="111">
        <f>1/365</f>
        <v>0.0027397260273972603</v>
      </c>
      <c r="F37" s="531">
        <f>+'4b - ADIT Projection Proration'!G37</f>
        <v>103</v>
      </c>
      <c r="G37" s="532">
        <f t="shared" si="28"/>
        <v>0.28219178082191781</v>
      </c>
      <c r="H37" s="532">
        <f t="shared" si="29"/>
        <v>-722.71780821917821</v>
      </c>
      <c r="I37" s="151">
        <v>0</v>
      </c>
      <c r="J37" s="532">
        <f t="shared" si="30"/>
        <v>-103</v>
      </c>
      <c r="K37" s="532">
        <f t="shared" si="31"/>
        <v>0</v>
      </c>
      <c r="L37" s="532">
        <f t="shared" si="32"/>
        <v>0.28219178082191781</v>
      </c>
      <c r="M37" s="532">
        <f t="shared" si="33"/>
        <v>0.28219178082191781</v>
      </c>
      <c r="N37" s="533">
        <f t="shared" si="34"/>
        <v>0</v>
      </c>
      <c r="O37" s="531">
        <f>+'4b - ADIT Projection Proration'!I37</f>
        <v>0</v>
      </c>
      <c r="P37" s="532">
        <f t="shared" si="35"/>
        <v>0</v>
      </c>
      <c r="Q37" s="532">
        <f t="shared" si="36"/>
        <v>0</v>
      </c>
      <c r="R37" s="151">
        <v>0</v>
      </c>
      <c r="S37" s="532">
        <f t="shared" si="37"/>
        <v>0</v>
      </c>
      <c r="T37" s="532">
        <f t="shared" si="38"/>
        <v>0</v>
      </c>
      <c r="U37" s="532">
        <f t="shared" si="39"/>
        <v>0</v>
      </c>
      <c r="V37" s="532">
        <f t="shared" si="40"/>
        <v>0</v>
      </c>
      <c r="W37" s="533">
        <f t="shared" si="41"/>
        <v>0</v>
      </c>
      <c r="X37" s="531">
        <f>+'4b - ADIT Projection Proration'!K37</f>
        <v>0</v>
      </c>
      <c r="Y37" s="532">
        <f t="shared" si="42"/>
        <v>0</v>
      </c>
      <c r="Z37" s="532">
        <f t="shared" si="43"/>
        <v>0</v>
      </c>
      <c r="AA37" s="151">
        <v>0</v>
      </c>
      <c r="AB37" s="532">
        <f t="shared" si="44"/>
        <v>0</v>
      </c>
      <c r="AC37" s="532">
        <f t="shared" si="45"/>
        <v>0</v>
      </c>
      <c r="AD37" s="532">
        <f t="shared" si="46"/>
        <v>0</v>
      </c>
      <c r="AE37" s="532">
        <f t="shared" si="47"/>
        <v>0</v>
      </c>
      <c r="AF37" s="533">
        <f t="shared" si="48"/>
        <v>0</v>
      </c>
    </row>
    <row r="38" spans="1:32" ht="15">
      <c r="A38" s="467">
        <f t="shared" si="27"/>
        <v>28</v>
      </c>
      <c r="B38" s="466" t="s">
        <v>848</v>
      </c>
      <c r="C38" s="462"/>
      <c r="D38" s="462"/>
      <c r="E38" s="462"/>
      <c r="F38" s="531">
        <f t="shared" si="49" ref="F38:M38">SUM(F25:F37)</f>
        <v>1230</v>
      </c>
      <c r="G38" s="534">
        <f t="shared" si="49"/>
        <v>568.2821917808219</v>
      </c>
      <c r="H38" s="5"/>
      <c r="I38" s="5">
        <f t="shared" si="49"/>
        <v>0</v>
      </c>
      <c r="J38" s="5">
        <f t="shared" si="49"/>
        <v>-1230</v>
      </c>
      <c r="K38" s="5">
        <f t="shared" si="49"/>
        <v>0</v>
      </c>
      <c r="L38" s="5">
        <f t="shared" si="49"/>
        <v>568.2821917808219</v>
      </c>
      <c r="M38" s="5">
        <f t="shared" si="49"/>
        <v>568.2821917808219</v>
      </c>
      <c r="N38" s="27"/>
      <c r="O38" s="531">
        <f t="shared" si="50" ref="O38:P38">SUM(O25:O37)</f>
        <v>0</v>
      </c>
      <c r="P38" s="534">
        <f t="shared" si="50"/>
        <v>0</v>
      </c>
      <c r="Q38" s="5"/>
      <c r="R38" s="5">
        <f t="shared" si="51" ref="R38:V38">SUM(R25:R37)</f>
        <v>0</v>
      </c>
      <c r="S38" s="5">
        <f t="shared" si="51"/>
        <v>0</v>
      </c>
      <c r="T38" s="5">
        <f t="shared" si="51"/>
        <v>0</v>
      </c>
      <c r="U38" s="5">
        <f t="shared" si="51"/>
        <v>0</v>
      </c>
      <c r="V38" s="5">
        <f t="shared" si="51"/>
        <v>0</v>
      </c>
      <c r="W38" s="27"/>
      <c r="X38" s="531">
        <f t="shared" si="52" ref="X38:Y38">SUM(X25:X37)</f>
        <v>0</v>
      </c>
      <c r="Y38" s="534">
        <f t="shared" si="52"/>
        <v>0</v>
      </c>
      <c r="Z38" s="5"/>
      <c r="AA38" s="5">
        <f t="shared" si="53" ref="AA38:AE38">SUM(AA25:AA37)</f>
        <v>0</v>
      </c>
      <c r="AB38" s="5">
        <f t="shared" si="53"/>
        <v>0</v>
      </c>
      <c r="AC38" s="5">
        <f t="shared" si="53"/>
        <v>0</v>
      </c>
      <c r="AD38" s="5">
        <f t="shared" si="53"/>
        <v>0</v>
      </c>
      <c r="AE38" s="5">
        <f t="shared" si="53"/>
        <v>0</v>
      </c>
      <c r="AF38" s="27"/>
    </row>
    <row r="39" spans="1:32" ht="15">
      <c r="A39" s="467"/>
      <c r="B39" s="466"/>
      <c r="C39" s="462"/>
      <c r="D39" s="462"/>
      <c r="E39" s="462"/>
      <c r="F39" s="531"/>
      <c r="G39" s="5"/>
      <c r="H39" s="5"/>
      <c r="I39" s="5"/>
      <c r="J39" s="5"/>
      <c r="K39" s="5"/>
      <c r="L39" s="5"/>
      <c r="M39" s="5"/>
      <c r="N39" s="27"/>
      <c r="O39" s="531"/>
      <c r="P39" s="5"/>
      <c r="Q39" s="5"/>
      <c r="R39" s="5"/>
      <c r="S39" s="5"/>
      <c r="T39" s="5"/>
      <c r="U39" s="5"/>
      <c r="V39" s="5"/>
      <c r="W39" s="27"/>
      <c r="X39" s="531"/>
      <c r="Y39" s="5"/>
      <c r="Z39" s="5"/>
      <c r="AA39" s="5"/>
      <c r="AB39" s="5"/>
      <c r="AC39" s="5"/>
      <c r="AD39" s="5"/>
      <c r="AE39" s="5"/>
      <c r="AF39" s="27"/>
    </row>
    <row r="40" spans="1:32" ht="15">
      <c r="A40" s="462" t="s">
        <v>911</v>
      </c>
      <c r="B40" s="466"/>
      <c r="C40" s="462"/>
      <c r="D40" s="461"/>
      <c r="E40" s="461"/>
      <c r="F40" s="531"/>
      <c r="G40" s="5"/>
      <c r="H40" s="5"/>
      <c r="I40" s="5"/>
      <c r="J40" s="5"/>
      <c r="K40" s="5"/>
      <c r="L40" s="5"/>
      <c r="M40" s="5"/>
      <c r="N40" s="27"/>
      <c r="O40" s="531"/>
      <c r="P40" s="5"/>
      <c r="Q40" s="5"/>
      <c r="R40" s="5"/>
      <c r="S40" s="5"/>
      <c r="T40" s="5"/>
      <c r="U40" s="5"/>
      <c r="V40" s="5"/>
      <c r="W40" s="27"/>
      <c r="X40" s="531"/>
      <c r="Y40" s="5"/>
      <c r="Z40" s="5"/>
      <c r="AA40" s="5"/>
      <c r="AB40" s="5"/>
      <c r="AC40" s="5"/>
      <c r="AD40" s="5"/>
      <c r="AE40" s="5"/>
      <c r="AF40" s="27"/>
    </row>
    <row r="41" spans="1:32" ht="15">
      <c r="A41" s="467">
        <f>A38+1</f>
        <v>29</v>
      </c>
      <c r="B41" s="466" t="s">
        <v>850</v>
      </c>
      <c r="C41" s="462" t="s">
        <v>751</v>
      </c>
      <c r="D41" s="468" t="s">
        <v>814</v>
      </c>
      <c r="E41" s="111">
        <f>365/365</f>
        <v>1</v>
      </c>
      <c r="F41" s="531"/>
      <c r="G41" s="5"/>
      <c r="H41" s="5">
        <f>+'4c - ADIT BOY'!E29</f>
        <v>0</v>
      </c>
      <c r="I41" s="5"/>
      <c r="J41" s="5"/>
      <c r="K41" s="5"/>
      <c r="L41" s="5"/>
      <c r="M41" s="5"/>
      <c r="N41" s="27"/>
      <c r="O41" s="531"/>
      <c r="P41" s="5"/>
      <c r="Q41" s="5">
        <f>+'4c - ADIT BOY'!F29</f>
        <v>0</v>
      </c>
      <c r="R41" s="5"/>
      <c r="S41" s="5"/>
      <c r="T41" s="5"/>
      <c r="U41" s="5"/>
      <c r="V41" s="5"/>
      <c r="W41" s="27"/>
      <c r="X41" s="531"/>
      <c r="Y41" s="5"/>
      <c r="Z41" s="5">
        <f>+'4c - ADIT BOY'!G29</f>
        <v>0</v>
      </c>
      <c r="AA41" s="5"/>
      <c r="AB41" s="5"/>
      <c r="AC41" s="5"/>
      <c r="AD41" s="5"/>
      <c r="AE41" s="5"/>
      <c r="AF41" s="27"/>
    </row>
    <row r="42" spans="1:32" ht="15">
      <c r="A42" s="467">
        <f t="shared" si="54" ref="A42:A54">+A41+1</f>
        <v>30</v>
      </c>
      <c r="B42" s="466" t="s">
        <v>844</v>
      </c>
      <c r="C42" s="462" t="s">
        <v>207</v>
      </c>
      <c r="D42" s="468" t="s">
        <v>814</v>
      </c>
      <c r="E42" s="111">
        <f>335/365</f>
        <v>0.9178082191780822</v>
      </c>
      <c r="F42" s="531">
        <f>+'4b - ADIT Projection Proration'!G42</f>
        <v>0</v>
      </c>
      <c r="G42" s="5">
        <f t="shared" si="55" ref="G42:G53">$E42*F42</f>
        <v>0</v>
      </c>
      <c r="H42" s="5">
        <f t="shared" si="56" ref="H42:H53">+G42+H41</f>
        <v>0</v>
      </c>
      <c r="I42" s="60">
        <v>0</v>
      </c>
      <c r="J42" s="5">
        <f t="shared" si="57" ref="J42:J53">I42-F42</f>
        <v>0</v>
      </c>
      <c r="K42" s="5">
        <f t="shared" si="58" ref="K42:K53">IF(J42&gt;=0,+J42,0)</f>
        <v>0</v>
      </c>
      <c r="L42" s="5">
        <f t="shared" si="59" ref="L42:L53">IF(K42&gt;0,0,IF(I42&lt;0,0,(-(J42)*($E42))))</f>
        <v>0</v>
      </c>
      <c r="M42" s="5">
        <f t="shared" si="60" ref="M42:M53">IF(K42&gt;0,0,IF(I42&gt;0,0,(-(J42)*($E42))))</f>
        <v>0</v>
      </c>
      <c r="N42" s="27">
        <f t="shared" si="61" ref="N42:N53">IF(I42&lt;0,N41+M42,N41+$G42+K42-L42)</f>
        <v>0</v>
      </c>
      <c r="O42" s="531">
        <f>+'4b - ADIT Projection Proration'!I42</f>
        <v>0</v>
      </c>
      <c r="P42" s="5">
        <f t="shared" si="62" ref="P42:P53">$E42*O42</f>
        <v>0</v>
      </c>
      <c r="Q42" s="5">
        <f t="shared" si="63" ref="Q42:Q53">+P42+Q41</f>
        <v>0</v>
      </c>
      <c r="R42" s="60">
        <v>0</v>
      </c>
      <c r="S42" s="5">
        <f t="shared" si="64" ref="S42:S53">R42-O42</f>
        <v>0</v>
      </c>
      <c r="T42" s="5">
        <f t="shared" si="65" ref="T42:T53">IF(S42&gt;=0,+S42,0)</f>
        <v>0</v>
      </c>
      <c r="U42" s="5">
        <f t="shared" si="66" ref="U42:U53">IF(T42&gt;0,0,IF(R42&lt;0,0,(-(S42)*($E42))))</f>
        <v>0</v>
      </c>
      <c r="V42" s="5">
        <f t="shared" si="67" ref="V42:V53">IF(T42&gt;0,0,IF(R42&gt;0,0,(-(S42)*($E42))))</f>
        <v>0</v>
      </c>
      <c r="W42" s="27">
        <f t="shared" si="68" ref="W42:W53">IF(R42&lt;0,W41+V42,W41+P42+T42-U42)</f>
        <v>0</v>
      </c>
      <c r="X42" s="531">
        <f>+'4b - ADIT Projection Proration'!K42</f>
        <v>0</v>
      </c>
      <c r="Y42" s="5">
        <f t="shared" si="69" ref="Y42:Y53">$E42*X42</f>
        <v>0</v>
      </c>
      <c r="Z42" s="5">
        <f t="shared" si="70" ref="Z42:Z53">+Y42+Z41</f>
        <v>0</v>
      </c>
      <c r="AA42" s="60">
        <v>0</v>
      </c>
      <c r="AB42" s="5">
        <f t="shared" si="71" ref="AB42:AB53">AA42-X42</f>
        <v>0</v>
      </c>
      <c r="AC42" s="5">
        <f t="shared" si="72" ref="AC42:AC53">IF(AB42&gt;=0,+AB42,0)</f>
        <v>0</v>
      </c>
      <c r="AD42" s="5">
        <f t="shared" si="73" ref="AD42:AD53">IF(AC42&gt;0,0,IF(AA42&lt;0,0,(-(AB42)*($E42))))</f>
        <v>0</v>
      </c>
      <c r="AE42" s="5">
        <f t="shared" si="74" ref="AE42:AE53">IF(AC42&gt;0,0,IF(AA42&gt;0,0,(-(AB42)*($E42))))</f>
        <v>0</v>
      </c>
      <c r="AF42" s="27">
        <f t="shared" si="75" ref="AF42:AF53">IF(AA42&lt;0,AF41+AE42,AF41+Y42+AC42-AD42)</f>
        <v>0</v>
      </c>
    </row>
    <row r="43" spans="1:32" ht="15">
      <c r="A43" s="467">
        <f t="shared" si="54"/>
        <v>31</v>
      </c>
      <c r="B43" s="466" t="s">
        <v>844</v>
      </c>
      <c r="C43" s="462" t="s">
        <v>208</v>
      </c>
      <c r="D43" s="468" t="s">
        <v>814</v>
      </c>
      <c r="E43" s="111">
        <f>307/365</f>
        <v>0.84109589041095889</v>
      </c>
      <c r="F43" s="531">
        <f>+'4b - ADIT Projection Proration'!G43</f>
        <v>0</v>
      </c>
      <c r="G43" s="5">
        <f t="shared" si="55"/>
        <v>0</v>
      </c>
      <c r="H43" s="5">
        <f t="shared" si="56"/>
        <v>0</v>
      </c>
      <c r="I43" s="60">
        <v>0</v>
      </c>
      <c r="J43" s="5">
        <f t="shared" si="57"/>
        <v>0</v>
      </c>
      <c r="K43" s="5">
        <f t="shared" si="58"/>
        <v>0</v>
      </c>
      <c r="L43" s="5">
        <f t="shared" si="59"/>
        <v>0</v>
      </c>
      <c r="M43" s="5">
        <f t="shared" si="60"/>
        <v>0</v>
      </c>
      <c r="N43" s="27">
        <f t="shared" si="61"/>
        <v>0</v>
      </c>
      <c r="O43" s="531">
        <f>+'4b - ADIT Projection Proration'!I43</f>
        <v>0</v>
      </c>
      <c r="P43" s="5">
        <f t="shared" si="62"/>
        <v>0</v>
      </c>
      <c r="Q43" s="5">
        <f t="shared" si="63"/>
        <v>0</v>
      </c>
      <c r="R43" s="60">
        <v>0</v>
      </c>
      <c r="S43" s="5">
        <f t="shared" si="64"/>
        <v>0</v>
      </c>
      <c r="T43" s="5">
        <f t="shared" si="65"/>
        <v>0</v>
      </c>
      <c r="U43" s="5">
        <f t="shared" si="66"/>
        <v>0</v>
      </c>
      <c r="V43" s="5">
        <f t="shared" si="67"/>
        <v>0</v>
      </c>
      <c r="W43" s="27">
        <f t="shared" si="68"/>
        <v>0</v>
      </c>
      <c r="X43" s="531">
        <f>+'4b - ADIT Projection Proration'!K43</f>
        <v>0</v>
      </c>
      <c r="Y43" s="5">
        <f t="shared" si="69"/>
        <v>0</v>
      </c>
      <c r="Z43" s="5">
        <f t="shared" si="70"/>
        <v>0</v>
      </c>
      <c r="AA43" s="60">
        <v>0</v>
      </c>
      <c r="AB43" s="5">
        <f t="shared" si="71"/>
        <v>0</v>
      </c>
      <c r="AC43" s="5">
        <f t="shared" si="72"/>
        <v>0</v>
      </c>
      <c r="AD43" s="5">
        <f t="shared" si="73"/>
        <v>0</v>
      </c>
      <c r="AE43" s="5">
        <f t="shared" si="74"/>
        <v>0</v>
      </c>
      <c r="AF43" s="27">
        <f t="shared" si="75"/>
        <v>0</v>
      </c>
    </row>
    <row r="44" spans="1:32" ht="15">
      <c r="A44" s="467">
        <f t="shared" si="54"/>
        <v>32</v>
      </c>
      <c r="B44" s="466" t="s">
        <v>844</v>
      </c>
      <c r="C44" s="462" t="s">
        <v>748</v>
      </c>
      <c r="D44" s="468" t="s">
        <v>814</v>
      </c>
      <c r="E44" s="111">
        <f>276/365</f>
        <v>0.75616438356164384</v>
      </c>
      <c r="F44" s="531">
        <f>+'4b - ADIT Projection Proration'!G44</f>
        <v>0</v>
      </c>
      <c r="G44" s="5">
        <f t="shared" si="55"/>
        <v>0</v>
      </c>
      <c r="H44" s="5">
        <f t="shared" si="56"/>
        <v>0</v>
      </c>
      <c r="I44" s="60">
        <v>0</v>
      </c>
      <c r="J44" s="5">
        <f t="shared" si="57"/>
        <v>0</v>
      </c>
      <c r="K44" s="5">
        <f t="shared" si="58"/>
        <v>0</v>
      </c>
      <c r="L44" s="5">
        <f t="shared" si="59"/>
        <v>0</v>
      </c>
      <c r="M44" s="5">
        <f t="shared" si="60"/>
        <v>0</v>
      </c>
      <c r="N44" s="27">
        <f t="shared" si="61"/>
        <v>0</v>
      </c>
      <c r="O44" s="531">
        <f>+'4b - ADIT Projection Proration'!I44</f>
        <v>0</v>
      </c>
      <c r="P44" s="5">
        <f t="shared" si="62"/>
        <v>0</v>
      </c>
      <c r="Q44" s="5">
        <f t="shared" si="63"/>
        <v>0</v>
      </c>
      <c r="R44" s="60">
        <v>0</v>
      </c>
      <c r="S44" s="5">
        <f t="shared" si="64"/>
        <v>0</v>
      </c>
      <c r="T44" s="5">
        <f t="shared" si="65"/>
        <v>0</v>
      </c>
      <c r="U44" s="5">
        <f t="shared" si="66"/>
        <v>0</v>
      </c>
      <c r="V44" s="5">
        <f t="shared" si="67"/>
        <v>0</v>
      </c>
      <c r="W44" s="27">
        <f t="shared" si="68"/>
        <v>0</v>
      </c>
      <c r="X44" s="531">
        <f>+'4b - ADIT Projection Proration'!K44</f>
        <v>0</v>
      </c>
      <c r="Y44" s="5">
        <f t="shared" si="69"/>
        <v>0</v>
      </c>
      <c r="Z44" s="5">
        <f t="shared" si="70"/>
        <v>0</v>
      </c>
      <c r="AA44" s="60">
        <v>0</v>
      </c>
      <c r="AB44" s="5">
        <f t="shared" si="71"/>
        <v>0</v>
      </c>
      <c r="AC44" s="5">
        <f t="shared" si="72"/>
        <v>0</v>
      </c>
      <c r="AD44" s="5">
        <f t="shared" si="73"/>
        <v>0</v>
      </c>
      <c r="AE44" s="5">
        <f t="shared" si="74"/>
        <v>0</v>
      </c>
      <c r="AF44" s="27">
        <f t="shared" si="75"/>
        <v>0</v>
      </c>
    </row>
    <row r="45" spans="1:32" ht="15">
      <c r="A45" s="467">
        <f t="shared" si="54"/>
        <v>33</v>
      </c>
      <c r="B45" s="466" t="s">
        <v>844</v>
      </c>
      <c r="C45" s="462" t="s">
        <v>210</v>
      </c>
      <c r="D45" s="468" t="s">
        <v>814</v>
      </c>
      <c r="E45" s="111">
        <f>246/365</f>
        <v>0.67397260273972603</v>
      </c>
      <c r="F45" s="531">
        <f>+'4b - ADIT Projection Proration'!G45</f>
        <v>0</v>
      </c>
      <c r="G45" s="5">
        <f t="shared" si="55"/>
        <v>0</v>
      </c>
      <c r="H45" s="5">
        <f t="shared" si="56"/>
        <v>0</v>
      </c>
      <c r="I45" s="60">
        <v>0</v>
      </c>
      <c r="J45" s="5">
        <f t="shared" si="57"/>
        <v>0</v>
      </c>
      <c r="K45" s="5">
        <f t="shared" si="58"/>
        <v>0</v>
      </c>
      <c r="L45" s="5">
        <f t="shared" si="59"/>
        <v>0</v>
      </c>
      <c r="M45" s="5">
        <f t="shared" si="60"/>
        <v>0</v>
      </c>
      <c r="N45" s="27">
        <f t="shared" si="61"/>
        <v>0</v>
      </c>
      <c r="O45" s="531">
        <f>+'4b - ADIT Projection Proration'!I45</f>
        <v>0</v>
      </c>
      <c r="P45" s="5">
        <f t="shared" si="62"/>
        <v>0</v>
      </c>
      <c r="Q45" s="5">
        <f t="shared" si="63"/>
        <v>0</v>
      </c>
      <c r="R45" s="60">
        <v>0</v>
      </c>
      <c r="S45" s="5">
        <f t="shared" si="64"/>
        <v>0</v>
      </c>
      <c r="T45" s="5">
        <f t="shared" si="65"/>
        <v>0</v>
      </c>
      <c r="U45" s="5">
        <f t="shared" si="66"/>
        <v>0</v>
      </c>
      <c r="V45" s="5">
        <f t="shared" si="67"/>
        <v>0</v>
      </c>
      <c r="W45" s="27">
        <f t="shared" si="68"/>
        <v>0</v>
      </c>
      <c r="X45" s="531">
        <f>+'4b - ADIT Projection Proration'!K45</f>
        <v>0</v>
      </c>
      <c r="Y45" s="5">
        <f t="shared" si="69"/>
        <v>0</v>
      </c>
      <c r="Z45" s="5">
        <f t="shared" si="70"/>
        <v>0</v>
      </c>
      <c r="AA45" s="60">
        <v>0</v>
      </c>
      <c r="AB45" s="5">
        <f t="shared" si="71"/>
        <v>0</v>
      </c>
      <c r="AC45" s="5">
        <f t="shared" si="72"/>
        <v>0</v>
      </c>
      <c r="AD45" s="5">
        <f t="shared" si="73"/>
        <v>0</v>
      </c>
      <c r="AE45" s="5">
        <f t="shared" si="74"/>
        <v>0</v>
      </c>
      <c r="AF45" s="27">
        <f t="shared" si="75"/>
        <v>0</v>
      </c>
    </row>
    <row r="46" spans="1:32" ht="15">
      <c r="A46" s="467">
        <f t="shared" si="54"/>
        <v>34</v>
      </c>
      <c r="B46" s="466" t="s">
        <v>844</v>
      </c>
      <c r="C46" s="462" t="s">
        <v>211</v>
      </c>
      <c r="D46" s="468" t="s">
        <v>814</v>
      </c>
      <c r="E46" s="111">
        <f>215/365</f>
        <v>0.58904109589041098</v>
      </c>
      <c r="F46" s="531">
        <f>+'4b - ADIT Projection Proration'!G46</f>
        <v>0</v>
      </c>
      <c r="G46" s="5">
        <f t="shared" si="55"/>
        <v>0</v>
      </c>
      <c r="H46" s="5">
        <f t="shared" si="56"/>
        <v>0</v>
      </c>
      <c r="I46" s="60">
        <v>0</v>
      </c>
      <c r="J46" s="5">
        <f t="shared" si="57"/>
        <v>0</v>
      </c>
      <c r="K46" s="5">
        <f t="shared" si="58"/>
        <v>0</v>
      </c>
      <c r="L46" s="5">
        <f t="shared" si="59"/>
        <v>0</v>
      </c>
      <c r="M46" s="5">
        <f t="shared" si="60"/>
        <v>0</v>
      </c>
      <c r="N46" s="27">
        <f t="shared" si="61"/>
        <v>0</v>
      </c>
      <c r="O46" s="531">
        <f>+'4b - ADIT Projection Proration'!I46</f>
        <v>0</v>
      </c>
      <c r="P46" s="5">
        <f t="shared" si="62"/>
        <v>0</v>
      </c>
      <c r="Q46" s="5">
        <f t="shared" si="63"/>
        <v>0</v>
      </c>
      <c r="R46" s="60">
        <v>0</v>
      </c>
      <c r="S46" s="5">
        <f t="shared" si="64"/>
        <v>0</v>
      </c>
      <c r="T46" s="5">
        <f t="shared" si="65"/>
        <v>0</v>
      </c>
      <c r="U46" s="5">
        <f t="shared" si="66"/>
        <v>0</v>
      </c>
      <c r="V46" s="5">
        <f t="shared" si="67"/>
        <v>0</v>
      </c>
      <c r="W46" s="27">
        <f t="shared" si="68"/>
        <v>0</v>
      </c>
      <c r="X46" s="531">
        <f>+'4b - ADIT Projection Proration'!K46</f>
        <v>0</v>
      </c>
      <c r="Y46" s="5">
        <f t="shared" si="69"/>
        <v>0</v>
      </c>
      <c r="Z46" s="5">
        <f t="shared" si="70"/>
        <v>0</v>
      </c>
      <c r="AA46" s="60">
        <v>0</v>
      </c>
      <c r="AB46" s="5">
        <f t="shared" si="71"/>
        <v>0</v>
      </c>
      <c r="AC46" s="5">
        <f t="shared" si="72"/>
        <v>0</v>
      </c>
      <c r="AD46" s="5">
        <f t="shared" si="73"/>
        <v>0</v>
      </c>
      <c r="AE46" s="5">
        <f t="shared" si="74"/>
        <v>0</v>
      </c>
      <c r="AF46" s="27">
        <f t="shared" si="75"/>
        <v>0</v>
      </c>
    </row>
    <row r="47" spans="1:32" ht="15">
      <c r="A47" s="467">
        <f t="shared" si="54"/>
        <v>35</v>
      </c>
      <c r="B47" s="466" t="s">
        <v>844</v>
      </c>
      <c r="C47" s="462" t="s">
        <v>212</v>
      </c>
      <c r="D47" s="468" t="s">
        <v>814</v>
      </c>
      <c r="E47" s="111">
        <f>185/365</f>
        <v>0.50684931506849318</v>
      </c>
      <c r="F47" s="531">
        <f>+'4b - ADIT Projection Proration'!G47</f>
        <v>0</v>
      </c>
      <c r="G47" s="5">
        <f t="shared" si="55"/>
        <v>0</v>
      </c>
      <c r="H47" s="5">
        <f t="shared" si="56"/>
        <v>0</v>
      </c>
      <c r="I47" s="60">
        <v>0</v>
      </c>
      <c r="J47" s="5">
        <f t="shared" si="57"/>
        <v>0</v>
      </c>
      <c r="K47" s="5">
        <f t="shared" si="58"/>
        <v>0</v>
      </c>
      <c r="L47" s="5">
        <f t="shared" si="59"/>
        <v>0</v>
      </c>
      <c r="M47" s="5">
        <f t="shared" si="60"/>
        <v>0</v>
      </c>
      <c r="N47" s="27">
        <f t="shared" si="61"/>
        <v>0</v>
      </c>
      <c r="O47" s="531">
        <f>+'4b - ADIT Projection Proration'!I47</f>
        <v>0</v>
      </c>
      <c r="P47" s="5">
        <f t="shared" si="62"/>
        <v>0</v>
      </c>
      <c r="Q47" s="5">
        <f t="shared" si="63"/>
        <v>0</v>
      </c>
      <c r="R47" s="60">
        <v>0</v>
      </c>
      <c r="S47" s="5">
        <f t="shared" si="64"/>
        <v>0</v>
      </c>
      <c r="T47" s="5">
        <f t="shared" si="65"/>
        <v>0</v>
      </c>
      <c r="U47" s="5">
        <f t="shared" si="66"/>
        <v>0</v>
      </c>
      <c r="V47" s="5">
        <f t="shared" si="67"/>
        <v>0</v>
      </c>
      <c r="W47" s="27">
        <f t="shared" si="68"/>
        <v>0</v>
      </c>
      <c r="X47" s="531">
        <f>+'4b - ADIT Projection Proration'!K47</f>
        <v>0</v>
      </c>
      <c r="Y47" s="5">
        <f t="shared" si="69"/>
        <v>0</v>
      </c>
      <c r="Z47" s="5">
        <f t="shared" si="70"/>
        <v>0</v>
      </c>
      <c r="AA47" s="60">
        <v>0</v>
      </c>
      <c r="AB47" s="5">
        <f t="shared" si="71"/>
        <v>0</v>
      </c>
      <c r="AC47" s="5">
        <f t="shared" si="72"/>
        <v>0</v>
      </c>
      <c r="AD47" s="5">
        <f t="shared" si="73"/>
        <v>0</v>
      </c>
      <c r="AE47" s="5">
        <f t="shared" si="74"/>
        <v>0</v>
      </c>
      <c r="AF47" s="27">
        <f t="shared" si="75"/>
        <v>0</v>
      </c>
    </row>
    <row r="48" spans="1:32" ht="15">
      <c r="A48" s="467">
        <f t="shared" si="54"/>
        <v>36</v>
      </c>
      <c r="B48" s="466" t="s">
        <v>844</v>
      </c>
      <c r="C48" s="462" t="s">
        <v>213</v>
      </c>
      <c r="D48" s="468" t="s">
        <v>814</v>
      </c>
      <c r="E48" s="111">
        <f>154/365</f>
        <v>0.42191780821917807</v>
      </c>
      <c r="F48" s="531">
        <f>+'4b - ADIT Projection Proration'!G48</f>
        <v>0</v>
      </c>
      <c r="G48" s="5">
        <f t="shared" si="55"/>
        <v>0</v>
      </c>
      <c r="H48" s="5">
        <f t="shared" si="56"/>
        <v>0</v>
      </c>
      <c r="I48" s="60">
        <v>0</v>
      </c>
      <c r="J48" s="5">
        <f t="shared" si="57"/>
        <v>0</v>
      </c>
      <c r="K48" s="5">
        <f t="shared" si="58"/>
        <v>0</v>
      </c>
      <c r="L48" s="5">
        <f t="shared" si="59"/>
        <v>0</v>
      </c>
      <c r="M48" s="5">
        <f t="shared" si="60"/>
        <v>0</v>
      </c>
      <c r="N48" s="27">
        <f t="shared" si="61"/>
        <v>0</v>
      </c>
      <c r="O48" s="531">
        <f>+'4b - ADIT Projection Proration'!I48</f>
        <v>0</v>
      </c>
      <c r="P48" s="5">
        <f t="shared" si="62"/>
        <v>0</v>
      </c>
      <c r="Q48" s="5">
        <f t="shared" si="63"/>
        <v>0</v>
      </c>
      <c r="R48" s="60">
        <v>0</v>
      </c>
      <c r="S48" s="5">
        <f t="shared" si="64"/>
        <v>0</v>
      </c>
      <c r="T48" s="5">
        <f t="shared" si="65"/>
        <v>0</v>
      </c>
      <c r="U48" s="5">
        <f t="shared" si="66"/>
        <v>0</v>
      </c>
      <c r="V48" s="5">
        <f t="shared" si="67"/>
        <v>0</v>
      </c>
      <c r="W48" s="27">
        <f t="shared" si="68"/>
        <v>0</v>
      </c>
      <c r="X48" s="531">
        <f>+'4b - ADIT Projection Proration'!K48</f>
        <v>0</v>
      </c>
      <c r="Y48" s="5">
        <f t="shared" si="69"/>
        <v>0</v>
      </c>
      <c r="Z48" s="5">
        <f t="shared" si="70"/>
        <v>0</v>
      </c>
      <c r="AA48" s="60">
        <v>0</v>
      </c>
      <c r="AB48" s="5">
        <f t="shared" si="71"/>
        <v>0</v>
      </c>
      <c r="AC48" s="5">
        <f t="shared" si="72"/>
        <v>0</v>
      </c>
      <c r="AD48" s="5">
        <f t="shared" si="73"/>
        <v>0</v>
      </c>
      <c r="AE48" s="5">
        <f t="shared" si="74"/>
        <v>0</v>
      </c>
      <c r="AF48" s="27">
        <f t="shared" si="75"/>
        <v>0</v>
      </c>
    </row>
    <row r="49" spans="1:32" ht="15">
      <c r="A49" s="467">
        <f t="shared" si="54"/>
        <v>37</v>
      </c>
      <c r="B49" s="466" t="s">
        <v>844</v>
      </c>
      <c r="C49" s="462" t="s">
        <v>750</v>
      </c>
      <c r="D49" s="468" t="s">
        <v>814</v>
      </c>
      <c r="E49" s="111">
        <f>123/365</f>
        <v>0.33698630136986302</v>
      </c>
      <c r="F49" s="531">
        <f>+'4b - ADIT Projection Proration'!G49</f>
        <v>0</v>
      </c>
      <c r="G49" s="5">
        <f t="shared" si="55"/>
        <v>0</v>
      </c>
      <c r="H49" s="5">
        <f t="shared" si="56"/>
        <v>0</v>
      </c>
      <c r="I49" s="60">
        <v>0</v>
      </c>
      <c r="J49" s="5">
        <f t="shared" si="57"/>
        <v>0</v>
      </c>
      <c r="K49" s="5">
        <f t="shared" si="58"/>
        <v>0</v>
      </c>
      <c r="L49" s="5">
        <f t="shared" si="59"/>
        <v>0</v>
      </c>
      <c r="M49" s="5">
        <f t="shared" si="60"/>
        <v>0</v>
      </c>
      <c r="N49" s="27">
        <f t="shared" si="61"/>
        <v>0</v>
      </c>
      <c r="O49" s="531">
        <f>+'4b - ADIT Projection Proration'!I49</f>
        <v>0</v>
      </c>
      <c r="P49" s="5">
        <f t="shared" si="62"/>
        <v>0</v>
      </c>
      <c r="Q49" s="5">
        <f t="shared" si="63"/>
        <v>0</v>
      </c>
      <c r="R49" s="60">
        <v>0</v>
      </c>
      <c r="S49" s="5">
        <f t="shared" si="64"/>
        <v>0</v>
      </c>
      <c r="T49" s="5">
        <f t="shared" si="65"/>
        <v>0</v>
      </c>
      <c r="U49" s="5">
        <f t="shared" si="66"/>
        <v>0</v>
      </c>
      <c r="V49" s="5">
        <f t="shared" si="67"/>
        <v>0</v>
      </c>
      <c r="W49" s="27">
        <f t="shared" si="68"/>
        <v>0</v>
      </c>
      <c r="X49" s="531">
        <f>+'4b - ADIT Projection Proration'!K49</f>
        <v>0</v>
      </c>
      <c r="Y49" s="5">
        <f t="shared" si="69"/>
        <v>0</v>
      </c>
      <c r="Z49" s="5">
        <f t="shared" si="70"/>
        <v>0</v>
      </c>
      <c r="AA49" s="60">
        <v>0</v>
      </c>
      <c r="AB49" s="5">
        <f t="shared" si="71"/>
        <v>0</v>
      </c>
      <c r="AC49" s="5">
        <f t="shared" si="72"/>
        <v>0</v>
      </c>
      <c r="AD49" s="5">
        <f t="shared" si="73"/>
        <v>0</v>
      </c>
      <c r="AE49" s="5">
        <f t="shared" si="74"/>
        <v>0</v>
      </c>
      <c r="AF49" s="27">
        <f t="shared" si="75"/>
        <v>0</v>
      </c>
    </row>
    <row r="50" spans="1:32" ht="15">
      <c r="A50" s="467">
        <f t="shared" si="54"/>
        <v>38</v>
      </c>
      <c r="B50" s="466" t="s">
        <v>844</v>
      </c>
      <c r="C50" s="462" t="s">
        <v>215</v>
      </c>
      <c r="D50" s="468" t="s">
        <v>814</v>
      </c>
      <c r="E50" s="111">
        <f>93/365</f>
        <v>0.25479452054794521</v>
      </c>
      <c r="F50" s="531">
        <f>+'4b - ADIT Projection Proration'!G50</f>
        <v>0</v>
      </c>
      <c r="G50" s="5">
        <f t="shared" si="55"/>
        <v>0</v>
      </c>
      <c r="H50" s="5">
        <f t="shared" si="56"/>
        <v>0</v>
      </c>
      <c r="I50" s="60">
        <v>0</v>
      </c>
      <c r="J50" s="5">
        <f t="shared" si="57"/>
        <v>0</v>
      </c>
      <c r="K50" s="5">
        <f t="shared" si="58"/>
        <v>0</v>
      </c>
      <c r="L50" s="5">
        <f t="shared" si="59"/>
        <v>0</v>
      </c>
      <c r="M50" s="5">
        <f t="shared" si="60"/>
        <v>0</v>
      </c>
      <c r="N50" s="27">
        <f t="shared" si="61"/>
        <v>0</v>
      </c>
      <c r="O50" s="531">
        <f>+'4b - ADIT Projection Proration'!I50</f>
        <v>0</v>
      </c>
      <c r="P50" s="5">
        <f t="shared" si="62"/>
        <v>0</v>
      </c>
      <c r="Q50" s="5">
        <f t="shared" si="63"/>
        <v>0</v>
      </c>
      <c r="R50" s="60">
        <v>0</v>
      </c>
      <c r="S50" s="5">
        <f t="shared" si="64"/>
        <v>0</v>
      </c>
      <c r="T50" s="5">
        <f t="shared" si="65"/>
        <v>0</v>
      </c>
      <c r="U50" s="5">
        <f t="shared" si="66"/>
        <v>0</v>
      </c>
      <c r="V50" s="5">
        <f t="shared" si="67"/>
        <v>0</v>
      </c>
      <c r="W50" s="27">
        <f t="shared" si="68"/>
        <v>0</v>
      </c>
      <c r="X50" s="531">
        <f>+'4b - ADIT Projection Proration'!K50</f>
        <v>0</v>
      </c>
      <c r="Y50" s="5">
        <f t="shared" si="69"/>
        <v>0</v>
      </c>
      <c r="Z50" s="5">
        <f t="shared" si="70"/>
        <v>0</v>
      </c>
      <c r="AA50" s="60">
        <v>0</v>
      </c>
      <c r="AB50" s="5">
        <f t="shared" si="71"/>
        <v>0</v>
      </c>
      <c r="AC50" s="5">
        <f t="shared" si="72"/>
        <v>0</v>
      </c>
      <c r="AD50" s="5">
        <f t="shared" si="73"/>
        <v>0</v>
      </c>
      <c r="AE50" s="5">
        <f t="shared" si="74"/>
        <v>0</v>
      </c>
      <c r="AF50" s="27">
        <f t="shared" si="75"/>
        <v>0</v>
      </c>
    </row>
    <row r="51" spans="1:32" ht="15">
      <c r="A51" s="467">
        <f t="shared" si="54"/>
        <v>39</v>
      </c>
      <c r="B51" s="466" t="s">
        <v>844</v>
      </c>
      <c r="C51" s="462" t="s">
        <v>216</v>
      </c>
      <c r="D51" s="468" t="s">
        <v>814</v>
      </c>
      <c r="E51" s="111">
        <f>62/365</f>
        <v>0.16986301369863013</v>
      </c>
      <c r="F51" s="531">
        <f>+'4b - ADIT Projection Proration'!G51</f>
        <v>0</v>
      </c>
      <c r="G51" s="5">
        <f t="shared" si="55"/>
        <v>0</v>
      </c>
      <c r="H51" s="5">
        <f t="shared" si="56"/>
        <v>0</v>
      </c>
      <c r="I51" s="60">
        <v>0</v>
      </c>
      <c r="J51" s="5">
        <f t="shared" si="57"/>
        <v>0</v>
      </c>
      <c r="K51" s="5">
        <f t="shared" si="58"/>
        <v>0</v>
      </c>
      <c r="L51" s="5">
        <f t="shared" si="59"/>
        <v>0</v>
      </c>
      <c r="M51" s="5">
        <f t="shared" si="60"/>
        <v>0</v>
      </c>
      <c r="N51" s="27">
        <f t="shared" si="61"/>
        <v>0</v>
      </c>
      <c r="O51" s="531">
        <f>+'4b - ADIT Projection Proration'!I51</f>
        <v>0</v>
      </c>
      <c r="P51" s="5">
        <f t="shared" si="62"/>
        <v>0</v>
      </c>
      <c r="Q51" s="5">
        <f t="shared" si="63"/>
        <v>0</v>
      </c>
      <c r="R51" s="60">
        <v>0</v>
      </c>
      <c r="S51" s="5">
        <f t="shared" si="64"/>
        <v>0</v>
      </c>
      <c r="T51" s="5">
        <f t="shared" si="65"/>
        <v>0</v>
      </c>
      <c r="U51" s="5">
        <f t="shared" si="66"/>
        <v>0</v>
      </c>
      <c r="V51" s="5">
        <f t="shared" si="67"/>
        <v>0</v>
      </c>
      <c r="W51" s="27">
        <f t="shared" si="68"/>
        <v>0</v>
      </c>
      <c r="X51" s="531">
        <f>+'4b - ADIT Projection Proration'!K51</f>
        <v>0</v>
      </c>
      <c r="Y51" s="5">
        <f t="shared" si="69"/>
        <v>0</v>
      </c>
      <c r="Z51" s="5">
        <f t="shared" si="70"/>
        <v>0</v>
      </c>
      <c r="AA51" s="60">
        <v>0</v>
      </c>
      <c r="AB51" s="5">
        <f t="shared" si="71"/>
        <v>0</v>
      </c>
      <c r="AC51" s="5">
        <f t="shared" si="72"/>
        <v>0</v>
      </c>
      <c r="AD51" s="5">
        <f t="shared" si="73"/>
        <v>0</v>
      </c>
      <c r="AE51" s="5">
        <f t="shared" si="74"/>
        <v>0</v>
      </c>
      <c r="AF51" s="27">
        <f t="shared" si="75"/>
        <v>0</v>
      </c>
    </row>
    <row r="52" spans="1:32" ht="15">
      <c r="A52" s="467">
        <f t="shared" si="54"/>
        <v>40</v>
      </c>
      <c r="B52" s="466" t="s">
        <v>844</v>
      </c>
      <c r="C52" s="462" t="s">
        <v>217</v>
      </c>
      <c r="D52" s="468" t="s">
        <v>814</v>
      </c>
      <c r="E52" s="111">
        <f>32/365</f>
        <v>0.087671232876712329</v>
      </c>
      <c r="F52" s="531">
        <f>+'4b - ADIT Projection Proration'!G52</f>
        <v>0</v>
      </c>
      <c r="G52" s="5">
        <f t="shared" si="55"/>
        <v>0</v>
      </c>
      <c r="H52" s="5">
        <f t="shared" si="56"/>
        <v>0</v>
      </c>
      <c r="I52" s="60">
        <v>0</v>
      </c>
      <c r="J52" s="5">
        <f t="shared" si="57"/>
        <v>0</v>
      </c>
      <c r="K52" s="5">
        <f t="shared" si="58"/>
        <v>0</v>
      </c>
      <c r="L52" s="5">
        <f t="shared" si="59"/>
        <v>0</v>
      </c>
      <c r="M52" s="5">
        <f t="shared" si="60"/>
        <v>0</v>
      </c>
      <c r="N52" s="27">
        <f t="shared" si="61"/>
        <v>0</v>
      </c>
      <c r="O52" s="531">
        <f>+'4b - ADIT Projection Proration'!I52</f>
        <v>0</v>
      </c>
      <c r="P52" s="5">
        <f t="shared" si="62"/>
        <v>0</v>
      </c>
      <c r="Q52" s="5">
        <f t="shared" si="63"/>
        <v>0</v>
      </c>
      <c r="R52" s="60">
        <v>0</v>
      </c>
      <c r="S52" s="5">
        <f t="shared" si="64"/>
        <v>0</v>
      </c>
      <c r="T52" s="5">
        <f t="shared" si="65"/>
        <v>0</v>
      </c>
      <c r="U52" s="5">
        <f t="shared" si="66"/>
        <v>0</v>
      </c>
      <c r="V52" s="5">
        <f t="shared" si="67"/>
        <v>0</v>
      </c>
      <c r="W52" s="27">
        <f t="shared" si="68"/>
        <v>0</v>
      </c>
      <c r="X52" s="531">
        <f>+'4b - ADIT Projection Proration'!K52</f>
        <v>0</v>
      </c>
      <c r="Y52" s="5">
        <f t="shared" si="69"/>
        <v>0</v>
      </c>
      <c r="Z52" s="5">
        <f t="shared" si="70"/>
        <v>0</v>
      </c>
      <c r="AA52" s="60">
        <v>0</v>
      </c>
      <c r="AB52" s="5">
        <f t="shared" si="71"/>
        <v>0</v>
      </c>
      <c r="AC52" s="5">
        <f t="shared" si="72"/>
        <v>0</v>
      </c>
      <c r="AD52" s="5">
        <f t="shared" si="73"/>
        <v>0</v>
      </c>
      <c r="AE52" s="5">
        <f t="shared" si="74"/>
        <v>0</v>
      </c>
      <c r="AF52" s="27">
        <f t="shared" si="75"/>
        <v>0</v>
      </c>
    </row>
    <row r="53" spans="1:32" ht="15">
      <c r="A53" s="467">
        <f t="shared" si="54"/>
        <v>41</v>
      </c>
      <c r="B53" s="466" t="s">
        <v>844</v>
      </c>
      <c r="C53" s="462" t="s">
        <v>751</v>
      </c>
      <c r="D53" s="468" t="s">
        <v>814</v>
      </c>
      <c r="E53" s="111">
        <f>1/365</f>
        <v>0.0027397260273972603</v>
      </c>
      <c r="F53" s="531">
        <f>+'4b - ADIT Projection Proration'!G53</f>
        <v>0</v>
      </c>
      <c r="G53" s="532">
        <f t="shared" si="55"/>
        <v>0</v>
      </c>
      <c r="H53" s="532">
        <f t="shared" si="56"/>
        <v>0</v>
      </c>
      <c r="I53" s="151">
        <v>0</v>
      </c>
      <c r="J53" s="532">
        <f t="shared" si="57"/>
        <v>0</v>
      </c>
      <c r="K53" s="532">
        <f t="shared" si="58"/>
        <v>0</v>
      </c>
      <c r="L53" s="532">
        <f t="shared" si="59"/>
        <v>0</v>
      </c>
      <c r="M53" s="532">
        <f t="shared" si="60"/>
        <v>0</v>
      </c>
      <c r="N53" s="533">
        <f t="shared" si="61"/>
        <v>0</v>
      </c>
      <c r="O53" s="531">
        <f>+'4b - ADIT Projection Proration'!I53</f>
        <v>0</v>
      </c>
      <c r="P53" s="532">
        <f t="shared" si="62"/>
        <v>0</v>
      </c>
      <c r="Q53" s="532">
        <f t="shared" si="63"/>
        <v>0</v>
      </c>
      <c r="R53" s="151">
        <v>0</v>
      </c>
      <c r="S53" s="532">
        <f t="shared" si="64"/>
        <v>0</v>
      </c>
      <c r="T53" s="532">
        <f t="shared" si="65"/>
        <v>0</v>
      </c>
      <c r="U53" s="532">
        <f t="shared" si="66"/>
        <v>0</v>
      </c>
      <c r="V53" s="532">
        <f t="shared" si="67"/>
        <v>0</v>
      </c>
      <c r="W53" s="533">
        <f t="shared" si="68"/>
        <v>0</v>
      </c>
      <c r="X53" s="531">
        <f>+'4b - ADIT Projection Proration'!K53</f>
        <v>0</v>
      </c>
      <c r="Y53" s="532">
        <f t="shared" si="69"/>
        <v>0</v>
      </c>
      <c r="Z53" s="532">
        <f t="shared" si="70"/>
        <v>0</v>
      </c>
      <c r="AA53" s="151">
        <v>0</v>
      </c>
      <c r="AB53" s="532">
        <f t="shared" si="71"/>
        <v>0</v>
      </c>
      <c r="AC53" s="532">
        <f t="shared" si="72"/>
        <v>0</v>
      </c>
      <c r="AD53" s="532">
        <f t="shared" si="73"/>
        <v>0</v>
      </c>
      <c r="AE53" s="532">
        <f t="shared" si="74"/>
        <v>0</v>
      </c>
      <c r="AF53" s="533">
        <f t="shared" si="75"/>
        <v>0</v>
      </c>
    </row>
    <row r="54" spans="1:32" ht="15.75" thickBot="1">
      <c r="A54" s="467">
        <f t="shared" si="54"/>
        <v>42</v>
      </c>
      <c r="B54" s="466" t="s">
        <v>851</v>
      </c>
      <c r="C54" s="462"/>
      <c r="D54" s="462"/>
      <c r="E54" s="462"/>
      <c r="F54" s="535">
        <f t="shared" si="76" ref="F54:M54">SUM(F41:F53)</f>
        <v>0</v>
      </c>
      <c r="G54" s="51">
        <f t="shared" si="76"/>
        <v>0</v>
      </c>
      <c r="H54" s="51"/>
      <c r="I54" s="51">
        <f t="shared" si="76"/>
        <v>0</v>
      </c>
      <c r="J54" s="51">
        <f t="shared" si="76"/>
        <v>0</v>
      </c>
      <c r="K54" s="51">
        <f t="shared" si="76"/>
        <v>0</v>
      </c>
      <c r="L54" s="51">
        <f t="shared" si="76"/>
        <v>0</v>
      </c>
      <c r="M54" s="51">
        <f t="shared" si="76"/>
        <v>0</v>
      </c>
      <c r="N54" s="34"/>
      <c r="O54" s="535">
        <f t="shared" si="77" ref="O54:P54">SUM(O41:O53)</f>
        <v>0</v>
      </c>
      <c r="P54" s="51">
        <f t="shared" si="77"/>
        <v>0</v>
      </c>
      <c r="Q54" s="51"/>
      <c r="R54" s="51">
        <f t="shared" si="78" ref="R54:V54">SUM(R41:R53)</f>
        <v>0</v>
      </c>
      <c r="S54" s="51">
        <f t="shared" si="78"/>
        <v>0</v>
      </c>
      <c r="T54" s="51">
        <f t="shared" si="78"/>
        <v>0</v>
      </c>
      <c r="U54" s="51">
        <f t="shared" si="78"/>
        <v>0</v>
      </c>
      <c r="V54" s="51">
        <f t="shared" si="78"/>
        <v>0</v>
      </c>
      <c r="W54" s="34"/>
      <c r="X54" s="535">
        <f t="shared" si="79" ref="X54:Y54">SUM(X41:X53)</f>
        <v>0</v>
      </c>
      <c r="Y54" s="51">
        <f t="shared" si="79"/>
        <v>0</v>
      </c>
      <c r="Z54" s="51"/>
      <c r="AA54" s="51">
        <f t="shared" si="80" ref="AA54:AE54">SUM(AA41:AA53)</f>
        <v>0</v>
      </c>
      <c r="AB54" s="51">
        <f t="shared" si="80"/>
        <v>0</v>
      </c>
      <c r="AC54" s="51">
        <f t="shared" si="80"/>
        <v>0</v>
      </c>
      <c r="AD54" s="51">
        <f t="shared" si="80"/>
        <v>0</v>
      </c>
      <c r="AE54" s="51">
        <f t="shared" si="80"/>
        <v>0</v>
      </c>
      <c r="AF54" s="34"/>
    </row>
    <row r="55" spans="1:32" ht="15">
      <c r="A55" s="462"/>
      <c r="B55" s="462"/>
      <c r="C55" s="462"/>
      <c r="D55" s="462"/>
      <c r="E55" s="462"/>
      <c r="F55" s="5"/>
      <c r="G55" s="5"/>
      <c r="H55" s="5"/>
      <c r="I55" s="5"/>
      <c r="J55" s="5"/>
      <c r="K55" s="5"/>
      <c r="L55" s="5"/>
      <c r="M55" s="5"/>
      <c r="N55" s="5"/>
      <c r="O55" s="5"/>
      <c r="P55" s="5"/>
      <c r="Q55" s="5"/>
      <c r="R55" s="5"/>
      <c r="S55" s="5"/>
      <c r="T55" s="5"/>
      <c r="U55" s="5"/>
      <c r="V55" s="5"/>
      <c r="W55" s="5"/>
      <c r="X55" s="5"/>
      <c r="Y55" s="5"/>
      <c r="Z55" s="462"/>
      <c r="AA55" s="462"/>
      <c r="AB55" s="462"/>
      <c r="AC55" s="462"/>
      <c r="AD55" s="462"/>
      <c r="AE55" s="462"/>
      <c r="AF55" s="462"/>
    </row>
    <row r="56" spans="1:32" ht="15">
      <c r="A56" s="462"/>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row>
    <row r="57" spans="1:32" ht="15">
      <c r="A57" s="536" t="s">
        <v>852</v>
      </c>
      <c r="B57" s="462" t="s">
        <v>853</v>
      </c>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c r="AA57" s="462"/>
      <c r="AB57" s="462"/>
      <c r="AC57" s="462"/>
      <c r="AD57" s="462"/>
      <c r="AE57" s="462"/>
      <c r="AF57" s="462"/>
    </row>
    <row r="58" spans="1:32" ht="15">
      <c r="A58" s="536" t="s">
        <v>854</v>
      </c>
      <c r="B58" s="462" t="s">
        <v>855</v>
      </c>
      <c r="C58" s="462"/>
      <c r="D58" s="537"/>
      <c r="E58" s="537"/>
      <c r="F58" s="537"/>
      <c r="G58" s="537"/>
      <c r="H58" s="537"/>
      <c r="I58" s="537"/>
      <c r="J58" s="537"/>
      <c r="K58" s="537"/>
      <c r="L58" s="537"/>
      <c r="M58" s="537"/>
      <c r="N58" s="537"/>
      <c r="O58" s="462"/>
      <c r="P58" s="462"/>
      <c r="Q58" s="462"/>
      <c r="R58" s="462"/>
      <c r="S58" s="462"/>
      <c r="T58" s="462"/>
      <c r="U58" s="462"/>
      <c r="V58" s="462"/>
      <c r="W58" s="462"/>
      <c r="X58" s="462"/>
      <c r="Y58" s="462"/>
      <c r="Z58" s="462"/>
      <c r="AA58" s="462"/>
      <c r="AB58" s="462"/>
      <c r="AC58" s="462"/>
      <c r="AD58" s="462"/>
      <c r="AE58" s="462"/>
      <c r="AF58" s="462"/>
    </row>
    <row r="59" spans="1:32" ht="15">
      <c r="A59" s="538" t="s">
        <v>236</v>
      </c>
      <c r="B59" s="462" t="s">
        <v>856</v>
      </c>
      <c r="C59" s="462"/>
      <c r="D59" s="537"/>
      <c r="E59" s="537"/>
      <c r="F59" s="537"/>
      <c r="G59" s="537"/>
      <c r="H59" s="537"/>
      <c r="I59" s="537"/>
      <c r="J59" s="537"/>
      <c r="K59" s="537"/>
      <c r="L59" s="537"/>
      <c r="M59" s="537"/>
      <c r="N59" s="537"/>
      <c r="O59" s="462"/>
      <c r="P59" s="462"/>
      <c r="Q59" s="462"/>
      <c r="R59" s="462"/>
      <c r="S59" s="462"/>
      <c r="T59" s="462"/>
      <c r="U59" s="462"/>
      <c r="V59" s="462"/>
      <c r="W59" s="462"/>
      <c r="X59" s="462"/>
      <c r="Y59" s="462"/>
      <c r="Z59" s="462"/>
      <c r="AA59" s="462"/>
      <c r="AB59" s="462"/>
      <c r="AC59" s="462"/>
      <c r="AD59" s="462"/>
      <c r="AE59" s="462"/>
      <c r="AF59" s="462"/>
    </row>
    <row r="60" spans="1:32" ht="15">
      <c r="A60" s="538" t="s">
        <v>238</v>
      </c>
      <c r="B60" s="462" t="s">
        <v>857</v>
      </c>
      <c r="C60" s="462"/>
      <c r="D60" s="537"/>
      <c r="E60" s="537"/>
      <c r="F60" s="537"/>
      <c r="G60" s="537"/>
      <c r="H60" s="537"/>
      <c r="I60" s="537"/>
      <c r="J60" s="537"/>
      <c r="K60" s="537"/>
      <c r="L60" s="537"/>
      <c r="M60" s="537"/>
      <c r="N60" s="537"/>
      <c r="O60" s="462"/>
      <c r="P60" s="462"/>
      <c r="Q60" s="462"/>
      <c r="R60" s="462"/>
      <c r="S60" s="462"/>
      <c r="T60" s="462"/>
      <c r="U60" s="462"/>
      <c r="V60" s="462"/>
      <c r="W60" s="462"/>
      <c r="X60" s="462"/>
      <c r="Y60" s="462"/>
      <c r="Z60" s="462"/>
      <c r="AA60" s="462"/>
      <c r="AB60" s="462"/>
      <c r="AC60" s="462"/>
      <c r="AD60" s="462"/>
      <c r="AE60" s="462"/>
      <c r="AF60" s="462"/>
    </row>
    <row r="61" spans="1:32" ht="15">
      <c r="A61" s="538" t="s">
        <v>251</v>
      </c>
      <c r="B61" s="466" t="s">
        <v>858</v>
      </c>
      <c r="C61" s="462"/>
      <c r="D61" s="461"/>
      <c r="E61" s="461"/>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row>
  </sheetData>
  <mergeCells count="6">
    <mergeCell ref="X5:AF5"/>
    <mergeCell ref="A1:N1"/>
    <mergeCell ref="A2:N2"/>
    <mergeCell ref="A3:N3"/>
    <mergeCell ref="F5:N5"/>
    <mergeCell ref="O5:W5"/>
  </mergeCells>
  <pageMargins left="0.25" right="0.25" top="0.75" bottom="0.75" header="0.3" footer="0.3"/>
  <pageSetup fitToWidth="2" orientation="landscape" scale="51" r:id="rId1"/>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DBB2-F62A-43A5-A380-CD9C6F358D1A}">
  <sheetPr>
    <pageSetUpPr fitToPage="1"/>
  </sheetPr>
  <dimension ref="A1:AP70"/>
  <sheetViews>
    <sheetView showGridLines="0" zoomScale="90" zoomScaleNormal="90" zoomScaleSheetLayoutView="70" workbookViewId="0" topLeftCell="A1">
      <pane xSplit="5" ySplit="11" topLeftCell="F12" activePane="bottomRight" state="frozen"/>
      <selection pane="topLeft" activeCell="G24" sqref="G24"/>
      <selection pane="bottomLeft" activeCell="G24" sqref="G24"/>
      <selection pane="topRight" activeCell="G24" sqref="G24"/>
      <selection pane="bottomRight" activeCell="F12" sqref="F12"/>
    </sheetView>
  </sheetViews>
  <sheetFormatPr defaultColWidth="9.56555555555556" defaultRowHeight="13.2"/>
  <cols>
    <col min="1" max="1" width="4.88888888888889" style="644" customWidth="1"/>
    <col min="2" max="2" width="49" style="644" customWidth="1"/>
    <col min="3" max="3" width="2.33333333333333" style="644" customWidth="1"/>
    <col min="4" max="4" width="10.4444444444444" style="645" customWidth="1"/>
    <col min="5" max="5" width="5.44444444444444" style="644" customWidth="1"/>
    <col min="6" max="6" width="13.6666666666667" style="644" customWidth="1"/>
    <col min="7" max="7" width="2.66666666666667" style="644" customWidth="1"/>
    <col min="8" max="8" width="13.6666666666667" style="644" customWidth="1"/>
    <col min="9" max="9" width="2" style="644" customWidth="1"/>
    <col min="10" max="10" width="13.6666666666667" style="644" customWidth="1"/>
    <col min="11" max="11" width="3.11111111111111" style="644" customWidth="1"/>
    <col min="12" max="13" width="11" style="645" bestFit="1" customWidth="1"/>
    <col min="14" max="14" width="3.11111111111111" style="645" customWidth="1"/>
    <col min="15" max="15" width="10.4444444444444" style="645" customWidth="1"/>
    <col min="16" max="16" width="3.11111111111111" style="644" customWidth="1"/>
    <col min="17" max="17" width="13.6666666666667" style="644" customWidth="1"/>
    <col min="18" max="18" width="2.11111111111111" style="644" customWidth="1"/>
    <col min="19" max="19" width="13.6666666666667" style="644" customWidth="1"/>
    <col min="20" max="20" width="1.66666666666667" style="644" customWidth="1"/>
    <col min="21" max="21" width="13.6666666666667" style="644" customWidth="1"/>
    <col min="22" max="22" width="2.66666666666667" style="644" customWidth="1"/>
    <col min="23" max="23" width="13.6666666666667" style="644" customWidth="1"/>
    <col min="24" max="24" width="2.66666666666667" style="644" customWidth="1"/>
    <col min="25" max="25" width="13.6666666666667" style="644" customWidth="1"/>
    <col min="26" max="26" width="2.66666666666667" style="644" customWidth="1"/>
    <col min="27" max="27" width="13.6666666666667" style="644" customWidth="1"/>
    <col min="28" max="28" width="2.66666666666667" style="644" customWidth="1"/>
    <col min="29" max="29" width="13.6666666666667" style="644" customWidth="1"/>
    <col min="30" max="30" width="2.66666666666667" style="644" customWidth="1"/>
    <col min="31" max="31" width="13.6666666666667" style="644" customWidth="1"/>
    <col min="32" max="32" width="2.66666666666667" style="644" customWidth="1"/>
    <col min="33" max="33" width="13.6666666666667" style="644" customWidth="1"/>
    <col min="34" max="34" width="2.66666666666667" style="644" customWidth="1"/>
    <col min="35" max="35" width="13.6666666666667" style="644" customWidth="1"/>
    <col min="36" max="36" width="2.66666666666667" style="644" customWidth="1"/>
    <col min="37" max="37" width="13.6666666666667" style="644" customWidth="1"/>
    <col min="38" max="38" width="2.66666666666667" style="644" customWidth="1"/>
    <col min="39" max="39" width="13.6666666666667" style="644" customWidth="1"/>
    <col min="40" max="40" width="2.66666666666667" style="644" customWidth="1"/>
    <col min="41" max="41" width="16.3333333333333" style="644" customWidth="1"/>
    <col min="42" max="42" width="2.66666666666667" style="644" customWidth="1"/>
    <col min="43" max="49" width="13.6666666666667" style="644" customWidth="1"/>
    <col min="50" max="16384" width="9.55555555555556" style="644"/>
  </cols>
  <sheetData>
    <row r="1" spans="1:41" s="541" customFormat="1" ht="12.75">
      <c r="A1" s="539" t="s">
        <v>912</v>
      </c>
      <c r="B1" s="540"/>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row>
    <row r="2" spans="1:41" s="541" customFormat="1" ht="12.75">
      <c r="A2" s="539" t="s">
        <v>913</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c r="AM2" s="539"/>
      <c r="AN2" s="539"/>
      <c r="AO2" s="539"/>
    </row>
    <row r="3" spans="1:41" s="541" customFormat="1" ht="12.75">
      <c r="A3" s="539" t="s">
        <v>243</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row>
    <row r="4" spans="1:41" s="541" customFormat="1" ht="12.75">
      <c r="A4" s="542" t="s">
        <v>1320</v>
      </c>
      <c r="B4" s="542"/>
      <c r="C4" s="542"/>
      <c r="D4" s="542"/>
      <c r="E4" s="542"/>
      <c r="F4" s="542"/>
      <c r="G4" s="542"/>
      <c r="H4" s="542"/>
      <c r="I4" s="542"/>
      <c r="J4" s="542"/>
      <c r="K4" s="542"/>
      <c r="L4" s="542"/>
      <c r="M4" s="542"/>
      <c r="N4" s="542"/>
      <c r="O4" s="542"/>
      <c r="P4" s="542"/>
      <c r="Q4" s="543"/>
      <c r="R4" s="543"/>
      <c r="S4" s="543"/>
      <c r="T4" s="543"/>
      <c r="U4" s="543"/>
      <c r="V4" s="543"/>
      <c r="W4" s="542"/>
      <c r="X4" s="542"/>
      <c r="Y4" s="542"/>
      <c r="Z4" s="542"/>
      <c r="AA4" s="542"/>
      <c r="AB4" s="542"/>
      <c r="AC4" s="542"/>
      <c r="AD4" s="542"/>
      <c r="AE4" s="542"/>
      <c r="AF4" s="542"/>
      <c r="AG4" s="542"/>
      <c r="AH4" s="542"/>
      <c r="AI4" s="542"/>
      <c r="AJ4" s="542"/>
      <c r="AK4" s="542"/>
      <c r="AL4" s="542"/>
      <c r="AM4" s="542"/>
      <c r="AN4" s="542"/>
      <c r="AO4" s="542"/>
    </row>
    <row r="5" spans="1:41" s="541" customFormat="1" ht="12.75">
      <c r="A5" s="544"/>
      <c r="B5" s="545"/>
      <c r="C5" s="545"/>
      <c r="D5" s="546"/>
      <c r="E5" s="545"/>
      <c r="F5" s="545"/>
      <c r="G5" s="545"/>
      <c r="H5" s="545"/>
      <c r="I5" s="545"/>
      <c r="J5" s="545"/>
      <c r="K5" s="545"/>
      <c r="L5" s="546"/>
      <c r="M5" s="546"/>
      <c r="N5" s="546"/>
      <c r="O5" s="546"/>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row>
    <row r="6" spans="2:41" s="541" customFormat="1" ht="12.75">
      <c r="B6" s="545"/>
      <c r="C6" s="545"/>
      <c r="D6" s="546"/>
      <c r="E6" s="545"/>
      <c r="F6" s="545"/>
      <c r="G6" s="545"/>
      <c r="H6" s="545"/>
      <c r="I6" s="545"/>
      <c r="J6" s="545"/>
      <c r="K6" s="545"/>
      <c r="L6" s="546"/>
      <c r="M6" s="546"/>
      <c r="N6" s="546"/>
      <c r="O6" s="546"/>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row>
    <row r="7" spans="1:41" s="541" customFormat="1" ht="48.6" customHeight="1">
      <c r="A7" s="547"/>
      <c r="B7" s="547"/>
      <c r="C7" s="548"/>
      <c r="D7" s="549" t="s">
        <v>914</v>
      </c>
      <c r="E7" s="549" t="s">
        <v>915</v>
      </c>
      <c r="F7" s="549" t="s">
        <v>916</v>
      </c>
      <c r="G7" s="550"/>
      <c r="H7" s="549" t="s">
        <v>917</v>
      </c>
      <c r="I7" s="549"/>
      <c r="J7" s="549" t="s">
        <v>918</v>
      </c>
      <c r="K7" s="546"/>
      <c r="L7" s="550" t="s">
        <v>919</v>
      </c>
      <c r="M7" s="551" t="s">
        <v>920</v>
      </c>
      <c r="N7" s="546"/>
      <c r="O7" s="551" t="s">
        <v>921</v>
      </c>
      <c r="P7" s="550"/>
      <c r="Q7" s="552" t="s">
        <v>922</v>
      </c>
      <c r="R7" s="550"/>
      <c r="S7" s="552" t="s">
        <v>923</v>
      </c>
      <c r="T7" s="546"/>
      <c r="U7" s="546" t="s">
        <v>924</v>
      </c>
      <c r="V7" s="545"/>
      <c r="W7" s="546" t="s">
        <v>925</v>
      </c>
      <c r="X7" s="546"/>
      <c r="Y7" s="546" t="s">
        <v>926</v>
      </c>
      <c r="Z7" s="546"/>
      <c r="AA7" s="546" t="s">
        <v>927</v>
      </c>
      <c r="AB7" s="546"/>
      <c r="AC7" s="553" t="s">
        <v>928</v>
      </c>
      <c r="AD7" s="546"/>
      <c r="AE7" s="553" t="s">
        <v>929</v>
      </c>
      <c r="AF7" s="546"/>
      <c r="AG7" s="546" t="s">
        <v>930</v>
      </c>
      <c r="AH7" s="546"/>
      <c r="AI7" s="553" t="s">
        <v>931</v>
      </c>
      <c r="AJ7" s="546"/>
      <c r="AK7" s="553" t="s">
        <v>932</v>
      </c>
      <c r="AL7" s="553"/>
      <c r="AM7" s="553" t="s">
        <v>933</v>
      </c>
      <c r="AN7" s="553"/>
      <c r="AO7" s="551" t="s">
        <v>934</v>
      </c>
    </row>
    <row r="8" spans="1:41" s="541" customFormat="1" ht="12.75">
      <c r="A8" s="545"/>
      <c r="B8" s="545"/>
      <c r="C8" s="545"/>
      <c r="D8" s="546"/>
      <c r="E8" s="545"/>
      <c r="F8" s="545"/>
      <c r="G8" s="545"/>
      <c r="H8" s="545"/>
      <c r="I8" s="545"/>
      <c r="J8" s="545"/>
      <c r="K8" s="545"/>
      <c r="L8" s="546"/>
      <c r="M8" s="546"/>
      <c r="N8" s="545"/>
      <c r="O8" s="546"/>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row>
    <row r="9" spans="1:41" s="541" customFormat="1" ht="31.9" customHeight="1">
      <c r="A9" s="545"/>
      <c r="B9" s="545"/>
      <c r="C9" s="545"/>
      <c r="D9" s="1062" t="s">
        <v>935</v>
      </c>
      <c r="E9" s="1063"/>
      <c r="F9" s="1063"/>
      <c r="G9" s="1063"/>
      <c r="H9" s="1063"/>
      <c r="I9" s="1063"/>
      <c r="J9" s="1064"/>
      <c r="K9" s="554"/>
      <c r="L9" s="1062" t="s">
        <v>936</v>
      </c>
      <c r="M9" s="1064"/>
      <c r="N9" s="554"/>
      <c r="O9" s="1065" t="s">
        <v>937</v>
      </c>
      <c r="P9" s="1066"/>
      <c r="Q9" s="1066"/>
      <c r="R9" s="1066"/>
      <c r="S9" s="1066"/>
      <c r="T9" s="1066"/>
      <c r="U9" s="1067"/>
      <c r="V9" s="545"/>
      <c r="W9" s="1065" t="s">
        <v>938</v>
      </c>
      <c r="X9" s="1066"/>
      <c r="Y9" s="1066"/>
      <c r="Z9" s="1066"/>
      <c r="AA9" s="1066"/>
      <c r="AB9" s="1066"/>
      <c r="AC9" s="1066"/>
      <c r="AD9" s="1066"/>
      <c r="AE9" s="1066"/>
      <c r="AF9" s="1066"/>
      <c r="AG9" s="1066"/>
      <c r="AH9" s="1066"/>
      <c r="AI9" s="1066"/>
      <c r="AJ9" s="1066"/>
      <c r="AK9" s="1066"/>
      <c r="AL9" s="1066"/>
      <c r="AM9" s="1067"/>
      <c r="AN9" s="555"/>
      <c r="AO9" s="556"/>
    </row>
    <row r="10" spans="1:41" s="541" customFormat="1" ht="39.6" customHeight="1">
      <c r="A10" s="545"/>
      <c r="B10" s="545"/>
      <c r="C10" s="545"/>
      <c r="D10" s="557"/>
      <c r="E10" s="558"/>
      <c r="F10" s="1068" t="s">
        <v>939</v>
      </c>
      <c r="G10" s="1069"/>
      <c r="H10" s="1070"/>
      <c r="I10" s="558"/>
      <c r="J10" s="559"/>
      <c r="K10" s="554"/>
      <c r="L10" s="557"/>
      <c r="M10" s="560"/>
      <c r="N10" s="554"/>
      <c r="O10" s="557"/>
      <c r="P10" s="558"/>
      <c r="Q10" s="1071" t="s">
        <v>940</v>
      </c>
      <c r="R10" s="1072"/>
      <c r="S10" s="1073"/>
      <c r="T10" s="558"/>
      <c r="U10" s="561"/>
      <c r="V10" s="545"/>
      <c r="W10" s="1074" t="s">
        <v>941</v>
      </c>
      <c r="X10" s="1075"/>
      <c r="Y10" s="1075"/>
      <c r="Z10" s="1075"/>
      <c r="AA10" s="1076"/>
      <c r="AB10" s="545"/>
      <c r="AC10" s="1074" t="s">
        <v>937</v>
      </c>
      <c r="AD10" s="1075"/>
      <c r="AE10" s="1075"/>
      <c r="AF10" s="1075"/>
      <c r="AG10" s="1076"/>
      <c r="AH10" s="545"/>
      <c r="AI10" s="1077" t="s">
        <v>942</v>
      </c>
      <c r="AJ10" s="1078"/>
      <c r="AK10" s="1078"/>
      <c r="AL10" s="1078"/>
      <c r="AM10" s="1079"/>
      <c r="AN10" s="562"/>
      <c r="AO10" s="563"/>
    </row>
    <row r="11" spans="1:41" s="541" customFormat="1" ht="50.45" customHeight="1">
      <c r="A11" s="564" t="s">
        <v>1</v>
      </c>
      <c r="B11" s="565" t="s">
        <v>943</v>
      </c>
      <c r="C11" s="566"/>
      <c r="D11" s="567" t="s">
        <v>944</v>
      </c>
      <c r="E11" s="568"/>
      <c r="F11" s="569" t="s">
        <v>945</v>
      </c>
      <c r="G11" s="570"/>
      <c r="H11" s="571" t="s">
        <v>946</v>
      </c>
      <c r="I11" s="572"/>
      <c r="J11" s="573" t="s">
        <v>20</v>
      </c>
      <c r="K11" s="554"/>
      <c r="L11" s="569" t="s">
        <v>947</v>
      </c>
      <c r="M11" s="571" t="s">
        <v>948</v>
      </c>
      <c r="N11" s="554"/>
      <c r="O11" s="567" t="s">
        <v>949</v>
      </c>
      <c r="P11" s="570"/>
      <c r="Q11" s="567" t="s">
        <v>950</v>
      </c>
      <c r="R11" s="570"/>
      <c r="S11" s="571" t="s">
        <v>948</v>
      </c>
      <c r="T11" s="570"/>
      <c r="U11" s="574" t="s">
        <v>951</v>
      </c>
      <c r="V11" s="554"/>
      <c r="W11" s="569" t="s">
        <v>947</v>
      </c>
      <c r="X11" s="572"/>
      <c r="Y11" s="571" t="s">
        <v>948</v>
      </c>
      <c r="Z11" s="554"/>
      <c r="AA11" s="573" t="s">
        <v>20</v>
      </c>
      <c r="AB11" s="554"/>
      <c r="AC11" s="569" t="s">
        <v>947</v>
      </c>
      <c r="AD11" s="572"/>
      <c r="AE11" s="571" t="s">
        <v>948</v>
      </c>
      <c r="AF11" s="558"/>
      <c r="AG11" s="575" t="s">
        <v>20</v>
      </c>
      <c r="AH11" s="558"/>
      <c r="AI11" s="569" t="s">
        <v>947</v>
      </c>
      <c r="AJ11" s="572"/>
      <c r="AK11" s="571" t="s">
        <v>948</v>
      </c>
      <c r="AL11" s="571"/>
      <c r="AM11" s="573" t="s">
        <v>20</v>
      </c>
      <c r="AN11" s="571"/>
      <c r="AO11" s="576" t="s">
        <v>952</v>
      </c>
    </row>
    <row r="12" spans="1:41" s="541" customFormat="1" ht="15">
      <c r="A12" s="558"/>
      <c r="B12" s="577" t="s">
        <v>953</v>
      </c>
      <c r="C12" s="578"/>
      <c r="D12" s="546"/>
      <c r="E12" s="579"/>
      <c r="F12" s="554"/>
      <c r="G12" s="554"/>
      <c r="H12" s="554"/>
      <c r="I12" s="554"/>
      <c r="J12" s="554"/>
      <c r="K12" s="554"/>
      <c r="L12" s="554"/>
      <c r="M12" s="554"/>
      <c r="N12" s="554"/>
      <c r="O12" s="554"/>
      <c r="P12" s="554"/>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row>
    <row r="13" spans="1:41" s="541" customFormat="1" ht="12.75">
      <c r="A13" s="580" t="s">
        <v>954</v>
      </c>
      <c r="B13" s="581" t="s">
        <v>955</v>
      </c>
      <c r="C13" s="582"/>
      <c r="D13" s="583">
        <v>182.30000000000001</v>
      </c>
      <c r="E13" s="584" t="s">
        <v>223</v>
      </c>
      <c r="F13" s="585">
        <f>'4h - ADIT Remeasurement'!J12</f>
        <v>85138</v>
      </c>
      <c r="G13" s="586"/>
      <c r="H13" s="585">
        <f>'4h - ADIT Remeasurement'!K12</f>
        <v>0</v>
      </c>
      <c r="I13" s="586"/>
      <c r="J13" s="586">
        <f>F13+H13</f>
        <v>85138</v>
      </c>
      <c r="K13" s="587"/>
      <c r="L13" s="588" t="s">
        <v>956</v>
      </c>
      <c r="M13" s="589"/>
      <c r="N13" s="590"/>
      <c r="O13" s="591" t="s">
        <v>957</v>
      </c>
      <c r="P13" s="587"/>
      <c r="Q13" s="585">
        <v>0</v>
      </c>
      <c r="R13" s="586"/>
      <c r="S13" s="585">
        <v>0</v>
      </c>
      <c r="T13" s="586"/>
      <c r="U13" s="586">
        <f>Q13+S13</f>
        <v>0</v>
      </c>
      <c r="V13" s="586"/>
      <c r="W13" s="585">
        <v>85138</v>
      </c>
      <c r="X13" s="586"/>
      <c r="Y13" s="585">
        <v>0</v>
      </c>
      <c r="Z13" s="586"/>
      <c r="AA13" s="586">
        <f>W13+Y13</f>
        <v>85138</v>
      </c>
      <c r="AB13" s="586"/>
      <c r="AC13" s="586">
        <f>-Q13</f>
        <v>0</v>
      </c>
      <c r="AD13" s="586"/>
      <c r="AE13" s="586">
        <f>-S13</f>
        <v>0</v>
      </c>
      <c r="AF13" s="586"/>
      <c r="AG13" s="586">
        <f>AC13+AE13</f>
        <v>0</v>
      </c>
      <c r="AH13" s="586"/>
      <c r="AI13" s="586">
        <f>W13+AC13</f>
        <v>85138</v>
      </c>
      <c r="AJ13" s="586"/>
      <c r="AK13" s="586">
        <f>Y13+AE13</f>
        <v>0</v>
      </c>
      <c r="AL13" s="586"/>
      <c r="AM13" s="586">
        <f>AI13+AK13</f>
        <v>85138</v>
      </c>
      <c r="AN13" s="586"/>
      <c r="AO13" s="592"/>
    </row>
    <row r="14" spans="1:41" s="541" customFormat="1" ht="12.75">
      <c r="A14" s="580" t="s">
        <v>958</v>
      </c>
      <c r="B14" s="581" t="s">
        <v>959</v>
      </c>
      <c r="C14" s="582"/>
      <c r="D14" s="583">
        <v>182.30000000000001</v>
      </c>
      <c r="E14" s="584" t="s">
        <v>732</v>
      </c>
      <c r="F14" s="585">
        <f>'4h - ADIT Remeasurement'!J13</f>
        <v>12596</v>
      </c>
      <c r="G14" s="586"/>
      <c r="H14" s="585">
        <f>'4h - ADIT Remeasurement'!K13</f>
        <v>0</v>
      </c>
      <c r="I14" s="586"/>
      <c r="J14" s="586">
        <f>F14+H14</f>
        <v>12596</v>
      </c>
      <c r="K14" s="587"/>
      <c r="L14" s="588" t="s">
        <v>956</v>
      </c>
      <c r="M14" s="589"/>
      <c r="N14" s="590"/>
      <c r="O14" s="591" t="s">
        <v>957</v>
      </c>
      <c r="P14" s="587"/>
      <c r="Q14" s="585">
        <v>0</v>
      </c>
      <c r="R14" s="586"/>
      <c r="S14" s="585">
        <v>0</v>
      </c>
      <c r="T14" s="586"/>
      <c r="U14" s="586">
        <f>Q14+S14</f>
        <v>0</v>
      </c>
      <c r="V14" s="586"/>
      <c r="W14" s="585">
        <v>12596</v>
      </c>
      <c r="X14" s="586"/>
      <c r="Y14" s="585">
        <v>0</v>
      </c>
      <c r="Z14" s="586"/>
      <c r="AA14" s="586">
        <f>W14+Y14</f>
        <v>12596</v>
      </c>
      <c r="AB14" s="586"/>
      <c r="AC14" s="586">
        <f>-Q14</f>
        <v>0</v>
      </c>
      <c r="AD14" s="586"/>
      <c r="AE14" s="586">
        <f>-S14</f>
        <v>0</v>
      </c>
      <c r="AF14" s="586"/>
      <c r="AG14" s="586">
        <f>AC14+AE14</f>
        <v>0</v>
      </c>
      <c r="AH14" s="586"/>
      <c r="AI14" s="586">
        <f>W14+AC14</f>
        <v>12596</v>
      </c>
      <c r="AJ14" s="586"/>
      <c r="AK14" s="586">
        <f>Y14+AE14</f>
        <v>0</v>
      </c>
      <c r="AL14" s="586"/>
      <c r="AM14" s="586">
        <f>AI14+AK14</f>
        <v>12596</v>
      </c>
      <c r="AN14" s="586"/>
      <c r="AO14" s="592"/>
    </row>
    <row r="15" spans="1:41" s="541" customFormat="1" ht="12.75">
      <c r="A15" s="580" t="s">
        <v>960</v>
      </c>
      <c r="B15" s="585"/>
      <c r="C15" s="586"/>
      <c r="D15" s="593"/>
      <c r="E15" s="594" t="s">
        <v>961</v>
      </c>
      <c r="F15" s="595"/>
      <c r="G15" s="586"/>
      <c r="H15" s="595"/>
      <c r="I15" s="586"/>
      <c r="J15" s="595"/>
      <c r="K15" s="586"/>
      <c r="L15" s="596"/>
      <c r="M15" s="596"/>
      <c r="N15" s="549"/>
      <c r="O15" s="588"/>
      <c r="P15" s="586"/>
      <c r="Q15" s="595"/>
      <c r="R15" s="586"/>
      <c r="S15" s="595"/>
      <c r="T15" s="586"/>
      <c r="U15" s="595"/>
      <c r="V15" s="586"/>
      <c r="W15" s="595"/>
      <c r="X15" s="586"/>
      <c r="Y15" s="595"/>
      <c r="Z15" s="586"/>
      <c r="AA15" s="595"/>
      <c r="AB15" s="586"/>
      <c r="AC15" s="595"/>
      <c r="AD15" s="586"/>
      <c r="AE15" s="595"/>
      <c r="AF15" s="586"/>
      <c r="AG15" s="595"/>
      <c r="AH15" s="586"/>
      <c r="AI15" s="595"/>
      <c r="AJ15" s="586"/>
      <c r="AK15" s="595"/>
      <c r="AL15" s="586"/>
      <c r="AM15" s="595"/>
      <c r="AN15" s="586"/>
      <c r="AO15" s="585"/>
    </row>
    <row r="16" spans="1:41" s="541" customFormat="1" ht="12.75">
      <c r="A16" s="580">
        <v>1</v>
      </c>
      <c r="B16" s="597" t="s">
        <v>962</v>
      </c>
      <c r="C16" s="598"/>
      <c r="D16" s="599"/>
      <c r="E16" s="600" t="s">
        <v>199</v>
      </c>
      <c r="F16" s="587">
        <f>SUM(F13:F15)</f>
        <v>97734</v>
      </c>
      <c r="G16" s="587"/>
      <c r="H16" s="587">
        <f>SUM(H13:H15)</f>
        <v>0</v>
      </c>
      <c r="I16" s="587"/>
      <c r="J16" s="587">
        <f>SUM(J13:J15)</f>
        <v>97734</v>
      </c>
      <c r="K16" s="587"/>
      <c r="L16" s="590"/>
      <c r="M16" s="590"/>
      <c r="N16" s="587"/>
      <c r="O16" s="601"/>
      <c r="P16" s="587"/>
      <c r="Q16" s="587">
        <f>SUM(Q13:Q15)</f>
        <v>0</v>
      </c>
      <c r="R16" s="587"/>
      <c r="S16" s="587">
        <f>SUM(S13:S15)</f>
        <v>0</v>
      </c>
      <c r="T16" s="587"/>
      <c r="U16" s="587">
        <f>SUM(U13:U15)</f>
        <v>0</v>
      </c>
      <c r="V16" s="587"/>
      <c r="W16" s="587">
        <f>SUM(W13:W15)</f>
        <v>97734</v>
      </c>
      <c r="X16" s="587"/>
      <c r="Y16" s="587">
        <f>SUM(Y13:Y15)</f>
        <v>0</v>
      </c>
      <c r="Z16" s="587"/>
      <c r="AA16" s="587">
        <f>SUM(AA13:AA15)</f>
        <v>97734</v>
      </c>
      <c r="AB16" s="587"/>
      <c r="AC16" s="587">
        <f>SUM(AC13:AC15)</f>
        <v>0</v>
      </c>
      <c r="AD16" s="587"/>
      <c r="AE16" s="587">
        <f>SUM(AE13:AE15)</f>
        <v>0</v>
      </c>
      <c r="AF16" s="587"/>
      <c r="AG16" s="587">
        <f>SUM(AG13:AG15)</f>
        <v>0</v>
      </c>
      <c r="AH16" s="587"/>
      <c r="AI16" s="587">
        <f>SUM(AI13:AI15)</f>
        <v>97734</v>
      </c>
      <c r="AJ16" s="587"/>
      <c r="AK16" s="587">
        <f>SUM(AK13:AK15)</f>
        <v>0</v>
      </c>
      <c r="AL16" s="587"/>
      <c r="AM16" s="587">
        <f>SUM(AM13:AM15)</f>
        <v>97734</v>
      </c>
      <c r="AN16" s="587"/>
      <c r="AO16" s="545"/>
    </row>
    <row r="17" spans="1:41" s="541" customFormat="1" ht="12.75">
      <c r="A17" s="580"/>
      <c r="B17" s="597"/>
      <c r="C17" s="597"/>
      <c r="D17" s="599"/>
      <c r="E17" s="602"/>
      <c r="F17" s="587"/>
      <c r="G17" s="587"/>
      <c r="H17" s="587"/>
      <c r="I17" s="587"/>
      <c r="J17" s="587"/>
      <c r="K17" s="587"/>
      <c r="L17" s="590"/>
      <c r="M17" s="590"/>
      <c r="N17" s="587"/>
      <c r="O17" s="590"/>
      <c r="P17" s="587"/>
      <c r="Q17" s="603"/>
      <c r="R17" s="545"/>
      <c r="S17" s="603"/>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row>
    <row r="18" spans="1:41" s="541" customFormat="1" ht="12.75">
      <c r="A18" s="580"/>
      <c r="B18" s="604" t="s">
        <v>963</v>
      </c>
      <c r="C18" s="597"/>
      <c r="D18" s="599"/>
      <c r="E18" s="602"/>
      <c r="F18" s="587"/>
      <c r="G18" s="587"/>
      <c r="H18" s="587"/>
      <c r="I18" s="587"/>
      <c r="J18" s="587"/>
      <c r="K18" s="587"/>
      <c r="L18" s="590"/>
      <c r="M18" s="590"/>
      <c r="N18" s="587"/>
      <c r="O18" s="590"/>
      <c r="P18" s="587"/>
      <c r="Q18" s="603"/>
      <c r="R18" s="545"/>
      <c r="S18" s="603"/>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row>
    <row r="19" spans="1:41" s="541" customFormat="1" ht="15">
      <c r="A19" s="580" t="s">
        <v>964</v>
      </c>
      <c r="B19" s="581" t="s">
        <v>965</v>
      </c>
      <c r="C19" s="582"/>
      <c r="D19" s="583">
        <v>254</v>
      </c>
      <c r="E19" s="584" t="s">
        <v>223</v>
      </c>
      <c r="F19" s="585">
        <f>'4h - ADIT Remeasurement'!J18</f>
        <v>-85138</v>
      </c>
      <c r="G19" s="586"/>
      <c r="H19" s="585">
        <f>'4h - ADIT Remeasurement'!K18</f>
        <v>0</v>
      </c>
      <c r="I19" s="586"/>
      <c r="J19" s="586">
        <f>F19+H19</f>
        <v>-85138</v>
      </c>
      <c r="K19" s="587"/>
      <c r="L19" s="588" t="s">
        <v>956</v>
      </c>
      <c r="M19" s="605"/>
      <c r="N19" s="590"/>
      <c r="O19" s="591" t="s">
        <v>966</v>
      </c>
      <c r="P19" s="587"/>
      <c r="Q19" s="585">
        <v>0</v>
      </c>
      <c r="R19" s="586"/>
      <c r="S19" s="585">
        <v>0</v>
      </c>
      <c r="T19" s="586"/>
      <c r="U19" s="586">
        <f>Q19+S19</f>
        <v>0</v>
      </c>
      <c r="V19" s="586"/>
      <c r="W19" s="585">
        <v>-85138</v>
      </c>
      <c r="X19" s="586"/>
      <c r="Y19" s="585">
        <v>0</v>
      </c>
      <c r="Z19" s="586"/>
      <c r="AA19" s="586">
        <f>W19+Y19</f>
        <v>-85138</v>
      </c>
      <c r="AB19" s="586"/>
      <c r="AC19" s="586">
        <f>-Q19</f>
        <v>0</v>
      </c>
      <c r="AD19" s="586"/>
      <c r="AE19" s="586">
        <f>-S19</f>
        <v>0</v>
      </c>
      <c r="AF19" s="586"/>
      <c r="AG19" s="586">
        <f>AC19+AE19</f>
        <v>0</v>
      </c>
      <c r="AH19" s="586"/>
      <c r="AI19" s="586">
        <f>W19+AC19</f>
        <v>-85138</v>
      </c>
      <c r="AJ19" s="586"/>
      <c r="AK19" s="586">
        <f>Y19+AE19</f>
        <v>0</v>
      </c>
      <c r="AL19" s="586"/>
      <c r="AM19" s="586">
        <f>AI19+AK19</f>
        <v>-85138</v>
      </c>
      <c r="AN19" s="586"/>
      <c r="AO19" s="592"/>
    </row>
    <row r="20" spans="1:41" s="541" customFormat="1" ht="15">
      <c r="A20" s="580" t="s">
        <v>967</v>
      </c>
      <c r="B20" s="581" t="s">
        <v>968</v>
      </c>
      <c r="C20" s="582"/>
      <c r="D20" s="583">
        <v>254</v>
      </c>
      <c r="E20" s="584" t="s">
        <v>732</v>
      </c>
      <c r="F20" s="585">
        <f>'4h - ADIT Remeasurement'!J19</f>
        <v>-23411</v>
      </c>
      <c r="G20" s="586"/>
      <c r="H20" s="585">
        <f>'4h - ADIT Remeasurement'!K19</f>
        <v>0</v>
      </c>
      <c r="I20" s="586"/>
      <c r="J20" s="586">
        <f>F20+H20</f>
        <v>-23411</v>
      </c>
      <c r="K20" s="587"/>
      <c r="L20" s="588" t="s">
        <v>956</v>
      </c>
      <c r="M20" s="605"/>
      <c r="N20" s="590"/>
      <c r="O20" s="591" t="s">
        <v>966</v>
      </c>
      <c r="P20" s="587"/>
      <c r="Q20" s="585">
        <v>0</v>
      </c>
      <c r="R20" s="586"/>
      <c r="S20" s="585">
        <v>0</v>
      </c>
      <c r="T20" s="586"/>
      <c r="U20" s="586">
        <f>Q20+S20</f>
        <v>0</v>
      </c>
      <c r="V20" s="586"/>
      <c r="W20" s="585">
        <v>-23411</v>
      </c>
      <c r="X20" s="586"/>
      <c r="Y20" s="585">
        <v>0</v>
      </c>
      <c r="Z20" s="586"/>
      <c r="AA20" s="586">
        <f>W20+Y20</f>
        <v>-23411</v>
      </c>
      <c r="AB20" s="586"/>
      <c r="AC20" s="586">
        <f>-Q20</f>
        <v>0</v>
      </c>
      <c r="AD20" s="586"/>
      <c r="AE20" s="586">
        <f>-S20</f>
        <v>0</v>
      </c>
      <c r="AF20" s="586"/>
      <c r="AG20" s="586">
        <f>AC20+AE20</f>
        <v>0</v>
      </c>
      <c r="AH20" s="586"/>
      <c r="AI20" s="586">
        <f>W20+AC20</f>
        <v>-23411</v>
      </c>
      <c r="AJ20" s="586"/>
      <c r="AK20" s="586">
        <f>Y20+AE20</f>
        <v>0</v>
      </c>
      <c r="AL20" s="586"/>
      <c r="AM20" s="586">
        <f>AI20+AK20</f>
        <v>-23411</v>
      </c>
      <c r="AN20" s="586"/>
      <c r="AO20" s="592"/>
    </row>
    <row r="21" spans="1:41" s="541" customFormat="1" ht="12.75">
      <c r="A21" s="580" t="s">
        <v>969</v>
      </c>
      <c r="B21" s="606"/>
      <c r="C21" s="597"/>
      <c r="D21" s="594"/>
      <c r="E21" s="594" t="s">
        <v>961</v>
      </c>
      <c r="F21" s="607"/>
      <c r="G21" s="587"/>
      <c r="H21" s="607"/>
      <c r="I21" s="587"/>
      <c r="J21" s="607"/>
      <c r="K21" s="587"/>
      <c r="L21" s="588"/>
      <c r="M21" s="588"/>
      <c r="N21" s="587"/>
      <c r="O21" s="588"/>
      <c r="P21" s="587"/>
      <c r="Q21" s="608"/>
      <c r="R21" s="545"/>
      <c r="S21" s="608"/>
      <c r="T21" s="545"/>
      <c r="U21" s="609"/>
      <c r="V21" s="545"/>
      <c r="W21" s="609"/>
      <c r="X21" s="545"/>
      <c r="Y21" s="609"/>
      <c r="Z21" s="545"/>
      <c r="AA21" s="609"/>
      <c r="AB21" s="545"/>
      <c r="AC21" s="609"/>
      <c r="AD21" s="545"/>
      <c r="AE21" s="609"/>
      <c r="AF21" s="545"/>
      <c r="AG21" s="609"/>
      <c r="AH21" s="545"/>
      <c r="AI21" s="609"/>
      <c r="AJ21" s="545"/>
      <c r="AK21" s="609"/>
      <c r="AL21" s="545"/>
      <c r="AM21" s="609"/>
      <c r="AN21" s="545"/>
      <c r="AO21" s="592"/>
    </row>
    <row r="22" spans="1:41" s="541" customFormat="1" ht="12.75">
      <c r="A22" s="580">
        <v>2</v>
      </c>
      <c r="B22" s="597" t="s">
        <v>970</v>
      </c>
      <c r="C22" s="597"/>
      <c r="D22" s="599"/>
      <c r="E22" s="600" t="s">
        <v>199</v>
      </c>
      <c r="F22" s="587">
        <f>SUM(F19:F21)</f>
        <v>-108549</v>
      </c>
      <c r="G22" s="587"/>
      <c r="H22" s="587">
        <f>SUM(H19:H21)</f>
        <v>0</v>
      </c>
      <c r="I22" s="587"/>
      <c r="J22" s="587">
        <f>SUM(J19:J21)</f>
        <v>-108549</v>
      </c>
      <c r="K22" s="587"/>
      <c r="L22" s="590"/>
      <c r="M22" s="590"/>
      <c r="N22" s="587"/>
      <c r="O22" s="590"/>
      <c r="P22" s="587"/>
      <c r="Q22" s="587">
        <f>SUM(Q19:Q21)</f>
        <v>0</v>
      </c>
      <c r="R22" s="545"/>
      <c r="S22" s="587">
        <f>SUM(S19:S21)</f>
        <v>0</v>
      </c>
      <c r="T22" s="545"/>
      <c r="U22" s="587">
        <f>SUM(U19:U21)</f>
        <v>0</v>
      </c>
      <c r="V22" s="545"/>
      <c r="W22" s="587">
        <f>SUM(W19:W21)</f>
        <v>-108549</v>
      </c>
      <c r="X22" s="545"/>
      <c r="Y22" s="587">
        <f>SUM(Y19:Y21)</f>
        <v>0</v>
      </c>
      <c r="Z22" s="545"/>
      <c r="AA22" s="587">
        <f>SUM(AA19:AA21)</f>
        <v>-108549</v>
      </c>
      <c r="AB22" s="545"/>
      <c r="AC22" s="587">
        <f>SUM(AC19:AC21)</f>
        <v>0</v>
      </c>
      <c r="AD22" s="545"/>
      <c r="AE22" s="587">
        <f>SUM(AE19:AE21)</f>
        <v>0</v>
      </c>
      <c r="AF22" s="545"/>
      <c r="AG22" s="587">
        <f>SUM(AG19:AG21)</f>
        <v>0</v>
      </c>
      <c r="AH22" s="545"/>
      <c r="AI22" s="587">
        <f>SUM(AI19:AI21)</f>
        <v>-108549</v>
      </c>
      <c r="AJ22" s="545"/>
      <c r="AK22" s="587">
        <f>SUM(AK19:AK21)</f>
        <v>0</v>
      </c>
      <c r="AL22" s="545"/>
      <c r="AM22" s="587">
        <f>SUM(AM19:AM21)</f>
        <v>-108549</v>
      </c>
      <c r="AN22" s="545"/>
      <c r="AO22" s="545"/>
    </row>
    <row r="23" spans="1:41" s="541" customFormat="1" ht="12.75">
      <c r="A23" s="580"/>
      <c r="B23" s="597"/>
      <c r="C23" s="597"/>
      <c r="D23" s="599"/>
      <c r="E23" s="602"/>
      <c r="F23" s="587"/>
      <c r="G23" s="587"/>
      <c r="H23" s="587"/>
      <c r="I23" s="587"/>
      <c r="J23" s="587"/>
      <c r="K23" s="587"/>
      <c r="L23" s="590"/>
      <c r="M23" s="590"/>
      <c r="N23" s="587"/>
      <c r="O23" s="590"/>
      <c r="P23" s="587"/>
      <c r="Q23" s="603"/>
      <c r="R23" s="545"/>
      <c r="S23" s="603"/>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row>
    <row r="24" spans="1:41" s="541" customFormat="1" ht="12.75">
      <c r="A24" s="580"/>
      <c r="B24" s="577" t="s">
        <v>971</v>
      </c>
      <c r="C24" s="578"/>
      <c r="D24" s="610"/>
      <c r="E24" s="546"/>
      <c r="F24" s="587"/>
      <c r="G24" s="587"/>
      <c r="H24" s="587"/>
      <c r="I24" s="587"/>
      <c r="J24" s="587"/>
      <c r="K24" s="587"/>
      <c r="L24" s="590"/>
      <c r="M24" s="590"/>
      <c r="N24" s="587"/>
      <c r="O24" s="590"/>
      <c r="P24" s="587"/>
      <c r="Q24" s="603"/>
      <c r="R24" s="545"/>
      <c r="S24" s="603"/>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row>
    <row r="25" spans="1:41" s="541" customFormat="1" ht="12.75">
      <c r="A25" s="580" t="s">
        <v>284</v>
      </c>
      <c r="B25" s="606" t="s">
        <v>972</v>
      </c>
      <c r="C25" s="597"/>
      <c r="D25" s="583">
        <v>254</v>
      </c>
      <c r="E25" s="584" t="s">
        <v>223</v>
      </c>
      <c r="F25" s="585">
        <f>'4h - ADIT Remeasurement'!J24</f>
        <v>0</v>
      </c>
      <c r="G25" s="586"/>
      <c r="H25" s="585">
        <f>'4h - ADIT Remeasurement'!K24</f>
        <v>-434</v>
      </c>
      <c r="I25" s="586"/>
      <c r="J25" s="586">
        <f>F25+H25</f>
        <v>-434</v>
      </c>
      <c r="K25" s="587"/>
      <c r="L25" s="588"/>
      <c r="M25" s="611" t="s">
        <v>973</v>
      </c>
      <c r="N25" s="590"/>
      <c r="O25" s="591" t="s">
        <v>966</v>
      </c>
      <c r="P25" s="587"/>
      <c r="Q25" s="585">
        <v>0</v>
      </c>
      <c r="R25" s="586"/>
      <c r="S25" s="585">
        <f>H25/1</f>
        <v>-434</v>
      </c>
      <c r="T25" s="586"/>
      <c r="U25" s="586">
        <f>Q25+S25</f>
        <v>-434</v>
      </c>
      <c r="V25" s="586"/>
      <c r="W25" s="585">
        <v>0</v>
      </c>
      <c r="X25" s="586"/>
      <c r="Y25" s="585">
        <v>-434</v>
      </c>
      <c r="Z25" s="586"/>
      <c r="AA25" s="586">
        <f>W25+Y25</f>
        <v>-434</v>
      </c>
      <c r="AB25" s="586"/>
      <c r="AC25" s="586">
        <f>-Q25</f>
        <v>0</v>
      </c>
      <c r="AD25" s="586"/>
      <c r="AE25" s="586">
        <f>-S25</f>
        <v>434</v>
      </c>
      <c r="AF25" s="586"/>
      <c r="AG25" s="586">
        <f>AC25+AE25</f>
        <v>434</v>
      </c>
      <c r="AH25" s="586"/>
      <c r="AI25" s="586">
        <f>W25+AC25</f>
        <v>0</v>
      </c>
      <c r="AJ25" s="586"/>
      <c r="AK25" s="586">
        <f>Y25+AE25</f>
        <v>0</v>
      </c>
      <c r="AL25" s="586"/>
      <c r="AM25" s="586">
        <f>AI25+AK25</f>
        <v>0</v>
      </c>
      <c r="AN25" s="586"/>
      <c r="AO25" s="592"/>
    </row>
    <row r="26" spans="1:41" s="541" customFormat="1" ht="12.75">
      <c r="A26" s="580" t="s">
        <v>285</v>
      </c>
      <c r="B26" s="606" t="s">
        <v>974</v>
      </c>
      <c r="C26" s="597"/>
      <c r="D26" s="583">
        <v>254</v>
      </c>
      <c r="E26" s="584" t="s">
        <v>732</v>
      </c>
      <c r="F26" s="585">
        <f>'4h - ADIT Remeasurement'!J25</f>
        <v>0</v>
      </c>
      <c r="G26" s="586"/>
      <c r="H26" s="585">
        <f>'4h - ADIT Remeasurement'!K25</f>
        <v>-796</v>
      </c>
      <c r="I26" s="586"/>
      <c r="J26" s="586">
        <f>F26+H26</f>
        <v>-796</v>
      </c>
      <c r="K26" s="587"/>
      <c r="L26" s="588"/>
      <c r="M26" s="611" t="s">
        <v>973</v>
      </c>
      <c r="N26" s="590"/>
      <c r="O26" s="591" t="s">
        <v>966</v>
      </c>
      <c r="P26" s="587"/>
      <c r="Q26" s="585">
        <v>0</v>
      </c>
      <c r="R26" s="586"/>
      <c r="S26" s="585">
        <f>H26/1</f>
        <v>-796</v>
      </c>
      <c r="T26" s="586"/>
      <c r="U26" s="586">
        <f>Q26+S26</f>
        <v>-796</v>
      </c>
      <c r="V26" s="586"/>
      <c r="W26" s="585">
        <v>0</v>
      </c>
      <c r="X26" s="586"/>
      <c r="Y26" s="585">
        <v>-796</v>
      </c>
      <c r="Z26" s="586"/>
      <c r="AA26" s="586">
        <f>W26+Y26</f>
        <v>-796</v>
      </c>
      <c r="AB26" s="586"/>
      <c r="AC26" s="586">
        <f>-Q26</f>
        <v>0</v>
      </c>
      <c r="AD26" s="586"/>
      <c r="AE26" s="586">
        <f>-S26</f>
        <v>796</v>
      </c>
      <c r="AF26" s="586"/>
      <c r="AG26" s="586">
        <f>AC26+AE26</f>
        <v>796</v>
      </c>
      <c r="AH26" s="586"/>
      <c r="AI26" s="586">
        <f>W26+AC26</f>
        <v>0</v>
      </c>
      <c r="AJ26" s="586"/>
      <c r="AK26" s="586">
        <f>Y26+AE26</f>
        <v>0</v>
      </c>
      <c r="AL26" s="586"/>
      <c r="AM26" s="586">
        <f>AI26+AK26</f>
        <v>0</v>
      </c>
      <c r="AN26" s="586"/>
      <c r="AO26" s="592"/>
    </row>
    <row r="27" spans="1:41" s="541" customFormat="1" ht="12.75">
      <c r="A27" s="580" t="s">
        <v>975</v>
      </c>
      <c r="B27" s="585"/>
      <c r="C27" s="586"/>
      <c r="D27" s="596"/>
      <c r="E27" s="594" t="s">
        <v>961</v>
      </c>
      <c r="F27" s="595"/>
      <c r="G27" s="586"/>
      <c r="H27" s="595"/>
      <c r="I27" s="586"/>
      <c r="J27" s="595">
        <f>F27+H27</f>
        <v>0</v>
      </c>
      <c r="K27" s="586"/>
      <c r="L27" s="596"/>
      <c r="M27" s="596"/>
      <c r="N27" s="549"/>
      <c r="O27" s="596"/>
      <c r="P27" s="586"/>
      <c r="Q27" s="595"/>
      <c r="R27" s="586"/>
      <c r="S27" s="595"/>
      <c r="T27" s="586"/>
      <c r="U27" s="595">
        <f>Q27+S27</f>
        <v>0</v>
      </c>
      <c r="V27" s="586"/>
      <c r="W27" s="595"/>
      <c r="X27" s="586"/>
      <c r="Y27" s="595"/>
      <c r="Z27" s="586"/>
      <c r="AA27" s="595"/>
      <c r="AB27" s="586"/>
      <c r="AC27" s="595"/>
      <c r="AD27" s="586"/>
      <c r="AE27" s="595"/>
      <c r="AF27" s="586"/>
      <c r="AG27" s="595"/>
      <c r="AH27" s="586"/>
      <c r="AI27" s="595"/>
      <c r="AJ27" s="586"/>
      <c r="AK27" s="595"/>
      <c r="AL27" s="586"/>
      <c r="AM27" s="595"/>
      <c r="AN27" s="585"/>
      <c r="AO27" s="585"/>
    </row>
    <row r="28" spans="1:41" s="541" customFormat="1" ht="12.75">
      <c r="A28" s="580">
        <v>3</v>
      </c>
      <c r="B28" s="597" t="s">
        <v>976</v>
      </c>
      <c r="C28" s="598"/>
      <c r="D28" s="612"/>
      <c r="E28" s="600" t="s">
        <v>199</v>
      </c>
      <c r="F28" s="587">
        <f>SUM(F25:F27)</f>
        <v>0</v>
      </c>
      <c r="G28" s="613"/>
      <c r="H28" s="587">
        <f>SUM(H25:H27)</f>
        <v>-1230</v>
      </c>
      <c r="I28" s="613"/>
      <c r="J28" s="587">
        <f>SUM(J25:J27)</f>
        <v>-1230</v>
      </c>
      <c r="K28" s="587"/>
      <c r="L28" s="590"/>
      <c r="M28" s="590"/>
      <c r="N28" s="587"/>
      <c r="O28" s="601"/>
      <c r="P28" s="587"/>
      <c r="Q28" s="587">
        <f>SUM(Q25:Q27)</f>
        <v>0</v>
      </c>
      <c r="R28" s="613"/>
      <c r="S28" s="587">
        <f>SUM(S25:S27)</f>
        <v>-1230</v>
      </c>
      <c r="T28" s="613"/>
      <c r="U28" s="587">
        <f>SUM(U25:U27)</f>
        <v>-1230</v>
      </c>
      <c r="V28" s="613"/>
      <c r="W28" s="587">
        <f>SUM(W25:W27)</f>
        <v>0</v>
      </c>
      <c r="X28" s="613"/>
      <c r="Y28" s="587">
        <f>SUM(Y25:Y27)</f>
        <v>-1230</v>
      </c>
      <c r="Z28" s="613"/>
      <c r="AA28" s="587">
        <f>SUM(AA25:AA27)</f>
        <v>-1230</v>
      </c>
      <c r="AB28" s="613"/>
      <c r="AC28" s="587">
        <f>SUM(AC25:AC27)</f>
        <v>0</v>
      </c>
      <c r="AD28" s="613"/>
      <c r="AE28" s="587">
        <f>SUM(AE25:AE27)</f>
        <v>1230</v>
      </c>
      <c r="AF28" s="613"/>
      <c r="AG28" s="587">
        <f>SUM(AG25:AG27)</f>
        <v>1230</v>
      </c>
      <c r="AH28" s="613"/>
      <c r="AI28" s="587">
        <f>SUM(AI25:AI27)</f>
        <v>0</v>
      </c>
      <c r="AJ28" s="613"/>
      <c r="AK28" s="587">
        <f>SUM(AK25:AK27)</f>
        <v>0</v>
      </c>
      <c r="AL28" s="587"/>
      <c r="AM28" s="587">
        <f>SUM(AM25:AM27)</f>
        <v>0</v>
      </c>
      <c r="AN28" s="587"/>
      <c r="AO28" s="545"/>
    </row>
    <row r="29" spans="1:42" s="541" customFormat="1" ht="12.75">
      <c r="A29" s="580"/>
      <c r="B29" s="597"/>
      <c r="C29" s="597"/>
      <c r="D29" s="602"/>
      <c r="E29" s="597"/>
      <c r="F29" s="587"/>
      <c r="G29" s="587"/>
      <c r="H29" s="587"/>
      <c r="I29" s="587"/>
      <c r="J29" s="587"/>
      <c r="K29" s="587"/>
      <c r="L29" s="590"/>
      <c r="M29" s="590"/>
      <c r="N29" s="587"/>
      <c r="O29" s="590"/>
      <c r="P29" s="587"/>
      <c r="Q29" s="603"/>
      <c r="R29" s="545"/>
      <c r="S29" s="603"/>
      <c r="T29" s="545"/>
      <c r="U29" s="603"/>
      <c r="V29" s="545"/>
      <c r="W29" s="587"/>
      <c r="X29" s="545"/>
      <c r="Y29" s="587"/>
      <c r="Z29" s="545"/>
      <c r="AA29" s="587"/>
      <c r="AB29" s="545"/>
      <c r="AC29" s="587"/>
      <c r="AD29" s="545"/>
      <c r="AE29" s="587"/>
      <c r="AF29" s="545"/>
      <c r="AG29" s="545"/>
      <c r="AH29" s="545"/>
      <c r="AI29" s="587"/>
      <c r="AJ29" s="545"/>
      <c r="AK29" s="587"/>
      <c r="AL29" s="587"/>
      <c r="AM29" s="587"/>
      <c r="AN29" s="587"/>
      <c r="AO29" s="545"/>
      <c r="AP29" s="614"/>
    </row>
    <row r="30" spans="1:42" s="541" customFormat="1" ht="15.75" thickBot="1">
      <c r="A30" s="580">
        <f>+A28+1</f>
        <v>4</v>
      </c>
      <c r="B30" s="615" t="s">
        <v>977</v>
      </c>
      <c r="C30" s="615"/>
      <c r="D30" s="616"/>
      <c r="E30" s="615"/>
      <c r="F30" s="617">
        <f>F16+F22+F28</f>
        <v>-10815</v>
      </c>
      <c r="G30" s="586"/>
      <c r="H30" s="617">
        <f>H16+H22+H28</f>
        <v>-1230</v>
      </c>
      <c r="I30" s="586"/>
      <c r="J30" s="617">
        <f>J16+J22+J28</f>
        <v>-12045</v>
      </c>
      <c r="K30" s="618"/>
      <c r="L30" s="619"/>
      <c r="M30" s="619"/>
      <c r="N30" s="618"/>
      <c r="O30" s="601"/>
      <c r="P30" s="618"/>
      <c r="Q30" s="620">
        <f>Q16+Q22+Q28</f>
        <v>0</v>
      </c>
      <c r="R30" s="613"/>
      <c r="S30" s="620">
        <f>S16+S22+S28</f>
        <v>-1230</v>
      </c>
      <c r="T30" s="613"/>
      <c r="U30" s="620">
        <f>U16+U22+U28</f>
        <v>-1230</v>
      </c>
      <c r="V30" s="613"/>
      <c r="W30" s="620">
        <f>W16+W22+W28</f>
        <v>-10815</v>
      </c>
      <c r="X30" s="613"/>
      <c r="Y30" s="620">
        <f>Y16+Y22+Y28</f>
        <v>-1230</v>
      </c>
      <c r="Z30" s="613"/>
      <c r="AA30" s="620">
        <f>AA16+AA22+AA28</f>
        <v>-12045</v>
      </c>
      <c r="AB30" s="613"/>
      <c r="AC30" s="620">
        <f>AC16+AC22+AC28</f>
        <v>0</v>
      </c>
      <c r="AD30" s="613"/>
      <c r="AE30" s="620">
        <f>AE16+AE22+AE28</f>
        <v>1230</v>
      </c>
      <c r="AF30" s="613"/>
      <c r="AG30" s="620">
        <f>AG16+AG22+AG28</f>
        <v>1230</v>
      </c>
      <c r="AH30" s="613"/>
      <c r="AI30" s="620">
        <f>AI16+AI22+AI28</f>
        <v>-10815</v>
      </c>
      <c r="AJ30" s="613"/>
      <c r="AK30" s="620">
        <f>AK16+AK22+AK28</f>
        <v>0</v>
      </c>
      <c r="AL30" s="587"/>
      <c r="AM30" s="620">
        <f>AM16+AM22+AM28</f>
        <v>-10815</v>
      </c>
      <c r="AN30" s="587"/>
      <c r="AO30" s="545"/>
      <c r="AP30" s="614"/>
    </row>
    <row r="31" spans="1:41" s="541" customFormat="1" ht="13.5" thickTop="1">
      <c r="A31" s="580"/>
      <c r="B31" s="545"/>
      <c r="C31" s="545"/>
      <c r="D31" s="546"/>
      <c r="E31" s="545"/>
      <c r="F31" s="545"/>
      <c r="G31" s="545"/>
      <c r="H31" s="545"/>
      <c r="I31" s="545"/>
      <c r="J31" s="545"/>
      <c r="K31" s="545"/>
      <c r="L31" s="546"/>
      <c r="M31" s="546"/>
      <c r="N31" s="545"/>
      <c r="O31" s="546"/>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row>
    <row r="32" spans="1:41" s="541" customFormat="1" ht="12.75">
      <c r="A32" s="580"/>
      <c r="B32" s="545"/>
      <c r="C32" s="545"/>
      <c r="D32" s="546"/>
      <c r="E32" s="545"/>
      <c r="F32" s="545"/>
      <c r="G32" s="545"/>
      <c r="I32" s="545"/>
      <c r="J32" s="545"/>
      <c r="K32" s="545"/>
      <c r="L32" s="546"/>
      <c r="M32" s="546"/>
      <c r="N32" s="545"/>
      <c r="O32" s="546"/>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row>
    <row r="33" spans="1:41" s="541" customFormat="1" ht="12.75">
      <c r="A33" s="580"/>
      <c r="B33" s="621" t="s">
        <v>978</v>
      </c>
      <c r="C33" s="545"/>
      <c r="D33" s="546"/>
      <c r="E33" s="545"/>
      <c r="F33" s="545"/>
      <c r="G33" s="545"/>
      <c r="H33" s="545"/>
      <c r="I33" s="545"/>
      <c r="J33" s="545"/>
      <c r="K33" s="545"/>
      <c r="L33" s="546"/>
      <c r="M33" s="546"/>
      <c r="N33" s="545"/>
      <c r="P33" s="545"/>
      <c r="Q33" s="545"/>
      <c r="R33" s="545"/>
      <c r="S33" s="545"/>
      <c r="T33" s="545"/>
      <c r="U33" s="545"/>
      <c r="V33" s="545"/>
      <c r="AL33" s="622"/>
      <c r="AM33" s="622"/>
      <c r="AN33" s="622"/>
      <c r="AO33" s="545"/>
    </row>
    <row r="34" spans="1:41" s="541" customFormat="1" ht="15.75">
      <c r="A34" s="580">
        <f>A30+1</f>
        <v>5</v>
      </c>
      <c r="B34" s="545" t="s">
        <v>979</v>
      </c>
      <c r="C34" s="545"/>
      <c r="D34" s="550">
        <v>182.30000000000001</v>
      </c>
      <c r="E34" s="545"/>
      <c r="F34" s="623">
        <f>SUMIF($D$13:$D$27,$D34,F$13:F$27)</f>
        <v>97734</v>
      </c>
      <c r="G34" s="623"/>
      <c r="H34" s="623">
        <f>SUMIF($D$13:$D$27,$D34,H$13:H$27)</f>
        <v>0</v>
      </c>
      <c r="I34" s="545"/>
      <c r="J34" s="603">
        <f>F34+H34</f>
        <v>97734</v>
      </c>
      <c r="K34" s="624"/>
      <c r="L34" s="546"/>
      <c r="M34" s="546"/>
      <c r="N34" s="545"/>
      <c r="O34" s="625" t="s">
        <v>957</v>
      </c>
      <c r="P34" s="545"/>
      <c r="Q34" s="623">
        <f>SUMIF($O$13:$O$27,$O34,Q$13:Q$27)</f>
        <v>0</v>
      </c>
      <c r="R34" s="545"/>
      <c r="S34" s="623">
        <f>SUMIF($O$13:$O$27,$O34,S$13:S$27)</f>
        <v>0</v>
      </c>
      <c r="T34" s="545"/>
      <c r="U34" s="603">
        <f>Q34+S34</f>
        <v>0</v>
      </c>
      <c r="V34" s="587"/>
      <c r="W34" s="623">
        <f>SUMIF($O$13:$O$27,$O34,W$13:W$27)</f>
        <v>97734</v>
      </c>
      <c r="X34" s="545"/>
      <c r="Y34" s="623">
        <f>SUMIF($O$13:$O$27,$O34,Y$13:Y$27)</f>
        <v>0</v>
      </c>
      <c r="Z34" s="545"/>
      <c r="AA34" s="603">
        <f>W34+Y34</f>
        <v>97734</v>
      </c>
      <c r="AC34" s="623">
        <f>SUMIF($O$13:$O$27,$O34,AC$13:AC$27)</f>
        <v>0</v>
      </c>
      <c r="AD34" s="545"/>
      <c r="AE34" s="623">
        <f>SUMIF($O$13:$O$27,$O34,AE$13:AE$27)</f>
        <v>0</v>
      </c>
      <c r="AF34" s="545"/>
      <c r="AG34" s="603">
        <f>AC34+AE34</f>
        <v>0</v>
      </c>
      <c r="AI34" s="623">
        <f>SUMIF($O$13:$O$27,$O34,AI$13:AI$27)</f>
        <v>97734</v>
      </c>
      <c r="AJ34" s="545"/>
      <c r="AK34" s="623">
        <f>SUMIF($O$13:$O$27,$O34,AK$13:AK$27)</f>
        <v>0</v>
      </c>
      <c r="AL34" s="545"/>
      <c r="AM34" s="603">
        <f>AI34+AK34</f>
        <v>97734</v>
      </c>
      <c r="AN34" s="586"/>
      <c r="AO34" s="545"/>
    </row>
    <row r="35" spans="1:41" s="541" customFormat="1" ht="15.75">
      <c r="A35" s="580">
        <f>A34+1</f>
        <v>6</v>
      </c>
      <c r="B35" s="545" t="s">
        <v>979</v>
      </c>
      <c r="C35" s="545"/>
      <c r="D35" s="550">
        <v>254</v>
      </c>
      <c r="E35" s="626"/>
      <c r="F35" s="623">
        <f>SUMIF($D$13:$D$27,$D35,F$13:F$27)</f>
        <v>-108549</v>
      </c>
      <c r="G35" s="623"/>
      <c r="H35" s="623">
        <f>SUMIF($D$13:$D$27,$D35,H$13:H$27)</f>
        <v>-1230</v>
      </c>
      <c r="I35" s="545"/>
      <c r="J35" s="603">
        <f>F35+H35</f>
        <v>-109779</v>
      </c>
      <c r="K35" s="624"/>
      <c r="L35" s="546"/>
      <c r="M35" s="546"/>
      <c r="N35" s="545"/>
      <c r="O35" s="625" t="s">
        <v>966</v>
      </c>
      <c r="P35" s="545"/>
      <c r="Q35" s="623">
        <f>SUMIF($O$13:$O$27,$O35,Q$13:Q$27)</f>
        <v>0</v>
      </c>
      <c r="R35" s="545"/>
      <c r="S35" s="623">
        <f>SUMIF($O$13:$O$27,$O35,S$13:S$27)</f>
        <v>-1230</v>
      </c>
      <c r="T35" s="545"/>
      <c r="U35" s="603">
        <f>Q35+S35</f>
        <v>-1230</v>
      </c>
      <c r="V35" s="587"/>
      <c r="W35" s="623">
        <f>SUMIF($O$13:$O$27,$O35,W$13:W$27)</f>
        <v>-108549</v>
      </c>
      <c r="X35" s="545"/>
      <c r="Y35" s="623">
        <f>SUMIF($O$13:$O$27,$O35,Y$13:Y$27)</f>
        <v>-1230</v>
      </c>
      <c r="Z35" s="545"/>
      <c r="AA35" s="603">
        <f>W35+Y35</f>
        <v>-109779</v>
      </c>
      <c r="AC35" s="623">
        <f>SUMIF($O$13:$O$27,$O35,AC$13:AC$27)</f>
        <v>0</v>
      </c>
      <c r="AD35" s="545"/>
      <c r="AE35" s="623">
        <f>SUMIF($O$13:$O$27,$O35,AE$13:AE$27)</f>
        <v>1230</v>
      </c>
      <c r="AF35" s="545"/>
      <c r="AG35" s="603">
        <f>AC35+AE35</f>
        <v>1230</v>
      </c>
      <c r="AI35" s="623">
        <f>SUMIF($O$13:$O$27,$O35,AI$13:AI$27)</f>
        <v>-108549</v>
      </c>
      <c r="AJ35" s="545"/>
      <c r="AK35" s="623">
        <f>SUMIF($O$13:$O$27,$O35,AK$13:AK$27)</f>
        <v>0</v>
      </c>
      <c r="AL35" s="545"/>
      <c r="AM35" s="603">
        <f>AI35+AK35</f>
        <v>-108549</v>
      </c>
      <c r="AN35" s="586"/>
      <c r="AO35" s="545"/>
    </row>
    <row r="36" spans="1:41" s="541" customFormat="1" ht="16.5" thickBot="1">
      <c r="A36" s="580">
        <f>A35+1</f>
        <v>7</v>
      </c>
      <c r="B36" s="545"/>
      <c r="C36" s="545"/>
      <c r="D36" s="546"/>
      <c r="E36" s="545"/>
      <c r="F36" s="627">
        <f>SUM(F34:F35)</f>
        <v>-10815</v>
      </c>
      <c r="G36" s="623"/>
      <c r="H36" s="627">
        <f>SUM(H34:H35)</f>
        <v>-1230</v>
      </c>
      <c r="I36" s="545"/>
      <c r="J36" s="628">
        <f>SUM(J34:J35)</f>
        <v>-12045</v>
      </c>
      <c r="K36" s="624"/>
      <c r="L36" s="546"/>
      <c r="M36" s="546"/>
      <c r="N36" s="545"/>
      <c r="O36" s="546"/>
      <c r="P36" s="545"/>
      <c r="Q36" s="627">
        <f>SUM(Q34:Q35)</f>
        <v>0</v>
      </c>
      <c r="R36" s="545"/>
      <c r="S36" s="627">
        <f>SUM(S34:S35)</f>
        <v>-1230</v>
      </c>
      <c r="T36" s="545"/>
      <c r="U36" s="627">
        <f>SUM(U34:U35)</f>
        <v>-1230</v>
      </c>
      <c r="V36" s="545"/>
      <c r="W36" s="627">
        <f>SUM(W34:W35)</f>
        <v>-10815</v>
      </c>
      <c r="X36" s="545"/>
      <c r="Y36" s="627">
        <f>SUM(Y34:Y35)</f>
        <v>-1230</v>
      </c>
      <c r="Z36" s="545"/>
      <c r="AA36" s="627">
        <f>SUM(AA34:AA35)</f>
        <v>-12045</v>
      </c>
      <c r="AC36" s="627">
        <f>SUM(AC34:AC35)</f>
        <v>0</v>
      </c>
      <c r="AD36" s="545"/>
      <c r="AE36" s="627">
        <f>SUM(AE34:AE35)</f>
        <v>1230</v>
      </c>
      <c r="AF36" s="545"/>
      <c r="AG36" s="627">
        <f>SUM(AG34:AG35)</f>
        <v>1230</v>
      </c>
      <c r="AI36" s="627">
        <f>SUM(AI34:AI35)</f>
        <v>-10815</v>
      </c>
      <c r="AJ36" s="545"/>
      <c r="AK36" s="627">
        <f>SUM(AK34:AK35)</f>
        <v>0</v>
      </c>
      <c r="AL36" s="545"/>
      <c r="AM36" s="628">
        <f>SUM(AM34:AM35)</f>
        <v>-10815</v>
      </c>
      <c r="AN36" s="613"/>
      <c r="AO36" s="545"/>
    </row>
    <row r="37" spans="1:41" s="541" customFormat="1" ht="13.5" thickTop="1">
      <c r="A37" s="545"/>
      <c r="B37" s="545"/>
      <c r="C37" s="545"/>
      <c r="D37" s="546"/>
      <c r="E37" s="545"/>
      <c r="F37" s="545"/>
      <c r="G37" s="545"/>
      <c r="H37" s="545"/>
      <c r="I37" s="545"/>
      <c r="J37" s="545"/>
      <c r="K37" s="545"/>
      <c r="L37" s="546"/>
      <c r="M37" s="546"/>
      <c r="N37" s="546"/>
      <c r="O37" s="546"/>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row>
    <row r="38" spans="1:41" s="541" customFormat="1" ht="12.75">
      <c r="A38" s="545"/>
      <c r="B38" s="545"/>
      <c r="C38" s="545"/>
      <c r="D38" s="546"/>
      <c r="E38" s="545"/>
      <c r="F38" s="545"/>
      <c r="G38" s="545"/>
      <c r="H38" s="545"/>
      <c r="I38" s="545"/>
      <c r="J38" s="545"/>
      <c r="K38" s="545"/>
      <c r="L38" s="546"/>
      <c r="M38" s="546"/>
      <c r="N38" s="546"/>
      <c r="O38" s="546"/>
      <c r="P38" s="545"/>
      <c r="Q38" s="545"/>
      <c r="R38" s="545"/>
      <c r="S38" s="587"/>
      <c r="T38" s="587"/>
      <c r="U38" s="587"/>
      <c r="V38" s="587"/>
      <c r="AL38" s="587"/>
      <c r="AM38" s="587"/>
      <c r="AN38" s="587"/>
      <c r="AO38" s="587"/>
    </row>
    <row r="39" spans="1:41" s="541" customFormat="1" ht="12.75">
      <c r="A39" s="629" t="s">
        <v>980</v>
      </c>
      <c r="B39" s="630"/>
      <c r="C39" s="630"/>
      <c r="D39" s="631"/>
      <c r="E39" s="630"/>
      <c r="F39" s="630"/>
      <c r="G39" s="630"/>
      <c r="H39" s="630"/>
      <c r="I39" s="630"/>
      <c r="J39" s="630"/>
      <c r="K39" s="545"/>
      <c r="L39" s="631"/>
      <c r="M39" s="546"/>
      <c r="N39" s="546"/>
      <c r="O39" s="546"/>
      <c r="P39" s="545"/>
      <c r="Q39" s="545"/>
      <c r="R39" s="545"/>
      <c r="S39" s="587"/>
      <c r="T39" s="587"/>
      <c r="U39" s="587"/>
      <c r="V39" s="587"/>
      <c r="W39" s="622"/>
      <c r="X39" s="622"/>
      <c r="Y39" s="622"/>
      <c r="Z39" s="545"/>
      <c r="AA39" s="545"/>
      <c r="AB39" s="545"/>
      <c r="AC39" s="622"/>
      <c r="AD39" s="622"/>
      <c r="AE39" s="622"/>
      <c r="AF39" s="545"/>
      <c r="AG39" s="545"/>
      <c r="AH39" s="545"/>
      <c r="AI39" s="1061"/>
      <c r="AJ39" s="1061"/>
      <c r="AK39" s="1061"/>
      <c r="AL39" s="587"/>
      <c r="AM39" s="587"/>
      <c r="AN39" s="587"/>
      <c r="AO39" s="587"/>
    </row>
    <row r="40" spans="1:41" s="541" customFormat="1" ht="12.75">
      <c r="A40" s="632" t="s">
        <v>197</v>
      </c>
      <c r="B40" s="633" t="s">
        <v>981</v>
      </c>
      <c r="C40" s="634"/>
      <c r="D40" s="632"/>
      <c r="E40" s="634"/>
      <c r="F40" s="634"/>
      <c r="G40" s="634"/>
      <c r="H40" s="634"/>
      <c r="I40" s="634"/>
      <c r="J40" s="634"/>
      <c r="K40" s="633"/>
      <c r="L40" s="632"/>
      <c r="M40" s="635"/>
      <c r="N40" s="635"/>
      <c r="O40" s="635"/>
      <c r="P40" s="633"/>
      <c r="Q40" s="633"/>
      <c r="R40" s="633"/>
      <c r="S40" s="636"/>
      <c r="T40" s="587"/>
      <c r="U40" s="587"/>
      <c r="V40" s="587"/>
      <c r="W40" s="587"/>
      <c r="X40" s="545"/>
      <c r="Y40" s="586"/>
      <c r="Z40" s="547"/>
      <c r="AA40" s="547"/>
      <c r="AB40" s="547"/>
      <c r="AC40" s="587"/>
      <c r="AD40" s="545"/>
      <c r="AE40" s="586"/>
      <c r="AF40" s="545"/>
      <c r="AG40" s="545"/>
      <c r="AH40" s="545"/>
      <c r="AI40" s="587"/>
      <c r="AJ40" s="545"/>
      <c r="AK40" s="586"/>
      <c r="AL40" s="587"/>
      <c r="AM40" s="587"/>
      <c r="AN40" s="587"/>
      <c r="AO40" s="587"/>
    </row>
    <row r="41" spans="1:41" s="541" customFormat="1" ht="12.75">
      <c r="A41" s="632" t="s">
        <v>198</v>
      </c>
      <c r="B41" s="637" t="s">
        <v>982</v>
      </c>
      <c r="C41" s="638"/>
      <c r="D41" s="639"/>
      <c r="E41" s="640"/>
      <c r="F41" s="640"/>
      <c r="G41" s="640"/>
      <c r="H41" s="640"/>
      <c r="I41" s="640"/>
      <c r="J41" s="640"/>
      <c r="K41" s="633"/>
      <c r="L41" s="641"/>
      <c r="M41" s="635"/>
      <c r="N41" s="635"/>
      <c r="O41" s="635"/>
      <c r="P41" s="633"/>
      <c r="Q41" s="633"/>
      <c r="R41" s="633"/>
      <c r="S41" s="636"/>
      <c r="T41" s="587"/>
      <c r="U41" s="587"/>
      <c r="V41" s="587"/>
      <c r="W41" s="587"/>
      <c r="X41" s="545"/>
      <c r="Y41" s="586"/>
      <c r="Z41" s="547"/>
      <c r="AA41" s="547"/>
      <c r="AB41" s="547"/>
      <c r="AC41" s="587"/>
      <c r="AD41" s="545"/>
      <c r="AE41" s="586"/>
      <c r="AF41" s="545"/>
      <c r="AG41" s="545"/>
      <c r="AH41" s="545"/>
      <c r="AI41" s="587"/>
      <c r="AJ41" s="545"/>
      <c r="AK41" s="586"/>
      <c r="AL41" s="587"/>
      <c r="AM41" s="587"/>
      <c r="AN41" s="587"/>
      <c r="AO41" s="587"/>
    </row>
    <row r="42" spans="1:41" s="541" customFormat="1" ht="12.75">
      <c r="A42" s="632" t="s">
        <v>199</v>
      </c>
      <c r="B42" s="637" t="s">
        <v>983</v>
      </c>
      <c r="C42" s="637"/>
      <c r="D42" s="642"/>
      <c r="E42" s="640"/>
      <c r="F42" s="640"/>
      <c r="G42" s="640"/>
      <c r="H42" s="640"/>
      <c r="I42" s="640"/>
      <c r="J42" s="640"/>
      <c r="K42" s="633"/>
      <c r="L42" s="641"/>
      <c r="M42" s="635"/>
      <c r="N42" s="635"/>
      <c r="O42" s="635"/>
      <c r="P42" s="633"/>
      <c r="Q42" s="633"/>
      <c r="R42" s="633"/>
      <c r="S42" s="636"/>
      <c r="T42" s="587"/>
      <c r="U42" s="587"/>
      <c r="V42" s="587"/>
      <c r="W42" s="613"/>
      <c r="X42" s="545"/>
      <c r="Y42" s="613"/>
      <c r="Z42" s="547"/>
      <c r="AA42" s="547"/>
      <c r="AB42" s="547"/>
      <c r="AC42" s="613"/>
      <c r="AD42" s="545"/>
      <c r="AE42" s="613"/>
      <c r="AF42" s="545"/>
      <c r="AG42" s="545"/>
      <c r="AH42" s="545"/>
      <c r="AI42" s="613"/>
      <c r="AJ42" s="545"/>
      <c r="AK42" s="613"/>
      <c r="AL42" s="587"/>
      <c r="AM42" s="587"/>
      <c r="AN42" s="587"/>
      <c r="AO42" s="587"/>
    </row>
    <row r="43" spans="1:41" s="541" customFormat="1" ht="12.75">
      <c r="A43" s="632" t="s">
        <v>200</v>
      </c>
      <c r="B43" s="634" t="s">
        <v>984</v>
      </c>
      <c r="C43" s="633"/>
      <c r="D43" s="635"/>
      <c r="E43" s="633"/>
      <c r="F43" s="633"/>
      <c r="G43" s="633"/>
      <c r="H43" s="633"/>
      <c r="I43" s="633"/>
      <c r="J43" s="633"/>
      <c r="K43" s="633"/>
      <c r="L43" s="635"/>
      <c r="M43" s="635"/>
      <c r="N43" s="635"/>
      <c r="O43" s="635"/>
      <c r="P43" s="633"/>
      <c r="Q43" s="633"/>
      <c r="R43" s="633"/>
      <c r="S43" s="636"/>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row>
    <row r="44" spans="1:41" s="541" customFormat="1" ht="12.75">
      <c r="A44" s="632" t="s">
        <v>201</v>
      </c>
      <c r="B44" s="638" t="s">
        <v>985</v>
      </c>
      <c r="C44" s="633"/>
      <c r="D44" s="635"/>
      <c r="E44" s="633"/>
      <c r="F44" s="633"/>
      <c r="G44" s="633"/>
      <c r="H44" s="633"/>
      <c r="I44" s="633"/>
      <c r="J44" s="633"/>
      <c r="K44" s="633"/>
      <c r="L44" s="635"/>
      <c r="M44" s="635"/>
      <c r="N44" s="635"/>
      <c r="O44" s="635"/>
      <c r="P44" s="633"/>
      <c r="Q44" s="633"/>
      <c r="R44" s="633"/>
      <c r="S44" s="636"/>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row>
    <row r="45" spans="1:41" s="541" customFormat="1" ht="12.75">
      <c r="A45" s="643" t="s">
        <v>221</v>
      </c>
      <c r="B45" s="633" t="s">
        <v>986</v>
      </c>
      <c r="C45" s="633"/>
      <c r="D45" s="635"/>
      <c r="E45" s="633"/>
      <c r="F45" s="633"/>
      <c r="G45" s="633"/>
      <c r="H45" s="633"/>
      <c r="I45" s="633"/>
      <c r="J45" s="633"/>
      <c r="K45" s="633"/>
      <c r="L45" s="635"/>
      <c r="M45" s="635"/>
      <c r="N45" s="635"/>
      <c r="O45" s="635"/>
      <c r="P45" s="633"/>
      <c r="Q45" s="633"/>
      <c r="R45" s="633"/>
      <c r="S45" s="636"/>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row>
    <row r="46" spans="1:40" ht="12.75">
      <c r="A46" s="632" t="s">
        <v>222</v>
      </c>
      <c r="B46" s="638" t="s">
        <v>987</v>
      </c>
      <c r="C46" s="633"/>
      <c r="D46" s="635"/>
      <c r="E46" s="633"/>
      <c r="F46" s="633"/>
      <c r="G46" s="633"/>
      <c r="H46" s="633"/>
      <c r="I46" s="633"/>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46"/>
    </row>
    <row r="47" spans="1:40" ht="12.75">
      <c r="A47" s="1096" t="s">
        <v>223</v>
      </c>
      <c r="B47" s="1100" t="s">
        <v>988</v>
      </c>
      <c r="C47" s="648"/>
      <c r="D47" s="647"/>
      <c r="E47" s="648"/>
      <c r="F47" s="648"/>
      <c r="G47" s="648"/>
      <c r="H47" s="648"/>
      <c r="I47" s="648"/>
      <c r="J47" s="648"/>
      <c r="K47" s="648"/>
      <c r="L47" s="647"/>
      <c r="M47" s="647"/>
      <c r="N47" s="647"/>
      <c r="O47" s="647"/>
      <c r="P47" s="648"/>
      <c r="Q47" s="1098"/>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row>
    <row r="48" spans="1:40" ht="12.75">
      <c r="A48" s="1096" t="s">
        <v>678</v>
      </c>
      <c r="B48" s="1097" t="s">
        <v>989</v>
      </c>
      <c r="C48" s="648"/>
      <c r="D48" s="647"/>
      <c r="E48" s="648"/>
      <c r="F48" s="648"/>
      <c r="G48" s="648"/>
      <c r="H48" s="648"/>
      <c r="I48" s="648"/>
      <c r="J48" s="648"/>
      <c r="K48" s="648"/>
      <c r="L48" s="647"/>
      <c r="M48" s="647"/>
      <c r="N48" s="647"/>
      <c r="O48" s="647"/>
      <c r="P48" s="648"/>
      <c r="Q48" s="1098"/>
      <c r="R48" s="646"/>
      <c r="S48" s="646"/>
      <c r="T48" s="646"/>
      <c r="U48" s="646"/>
      <c r="V48" s="646"/>
      <c r="W48" s="646"/>
      <c r="X48" s="646"/>
      <c r="Y48" s="646"/>
      <c r="Z48" s="646"/>
      <c r="AA48" s="646"/>
      <c r="AB48" s="646"/>
      <c r="AC48" s="646"/>
      <c r="AD48" s="646"/>
      <c r="AE48" s="646"/>
      <c r="AF48" s="646"/>
      <c r="AG48" s="646"/>
      <c r="AH48" s="646"/>
      <c r="AI48" s="646"/>
      <c r="AJ48" s="646"/>
      <c r="AK48" s="646"/>
      <c r="AL48" s="646"/>
      <c r="AM48" s="646"/>
      <c r="AN48" s="646"/>
    </row>
    <row r="49" spans="1:40" ht="12.75">
      <c r="A49" s="1096" t="s">
        <v>732</v>
      </c>
      <c r="B49" s="1099" t="s">
        <v>990</v>
      </c>
      <c r="C49" s="648"/>
      <c r="D49" s="647"/>
      <c r="E49" s="648"/>
      <c r="F49" s="648"/>
      <c r="G49" s="648"/>
      <c r="H49" s="648"/>
      <c r="I49" s="648"/>
      <c r="J49" s="648"/>
      <c r="K49" s="648"/>
      <c r="L49" s="647"/>
      <c r="M49" s="647"/>
      <c r="N49" s="647"/>
      <c r="O49" s="647"/>
      <c r="P49" s="648"/>
      <c r="Q49" s="1098"/>
      <c r="R49" s="646"/>
      <c r="S49" s="646"/>
      <c r="T49" s="646"/>
      <c r="U49" s="646"/>
      <c r="V49" s="646"/>
      <c r="W49" s="646"/>
      <c r="X49" s="646"/>
      <c r="Y49" s="646"/>
      <c r="Z49" s="646"/>
      <c r="AA49" s="646"/>
      <c r="AB49" s="646"/>
      <c r="AC49" s="646"/>
      <c r="AD49" s="646"/>
      <c r="AE49" s="646"/>
      <c r="AF49" s="646"/>
      <c r="AG49" s="646"/>
      <c r="AH49" s="646"/>
      <c r="AI49" s="646"/>
      <c r="AJ49" s="646"/>
      <c r="AK49" s="646"/>
      <c r="AL49" s="646"/>
      <c r="AM49" s="646"/>
      <c r="AN49" s="646"/>
    </row>
    <row r="50" spans="1:40" ht="12.75">
      <c r="A50" s="647"/>
      <c r="B50" s="648"/>
      <c r="C50" s="648"/>
      <c r="D50" s="647"/>
      <c r="E50" s="648"/>
      <c r="F50" s="648"/>
      <c r="G50" s="648"/>
      <c r="H50" s="648"/>
      <c r="I50" s="648"/>
      <c r="J50" s="648"/>
      <c r="K50" s="648"/>
      <c r="L50" s="647"/>
      <c r="M50" s="647"/>
      <c r="N50" s="647"/>
      <c r="O50" s="647"/>
      <c r="P50" s="648"/>
      <c r="Q50" s="1098"/>
      <c r="R50" s="646"/>
      <c r="S50" s="646"/>
      <c r="T50" s="646"/>
      <c r="U50" s="646"/>
      <c r="V50" s="646"/>
      <c r="W50" s="646"/>
      <c r="X50" s="646"/>
      <c r="Y50" s="646"/>
      <c r="Z50" s="646"/>
      <c r="AA50" s="646"/>
      <c r="AB50" s="646"/>
      <c r="AC50" s="646"/>
      <c r="AD50" s="646"/>
      <c r="AE50" s="646"/>
      <c r="AF50" s="646"/>
      <c r="AG50" s="646"/>
      <c r="AH50" s="646"/>
      <c r="AI50" s="646"/>
      <c r="AJ50" s="646"/>
      <c r="AK50" s="646"/>
      <c r="AL50" s="646"/>
      <c r="AM50" s="646"/>
      <c r="AN50" s="646"/>
    </row>
    <row r="51" spans="17:40" ht="12.75">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c r="AN51" s="646"/>
    </row>
    <row r="52" spans="17:40" ht="12.75">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row>
    <row r="53" spans="17:40" ht="12.75">
      <c r="Q53" s="646"/>
      <c r="R53" s="646"/>
      <c r="S53" s="646"/>
      <c r="T53" s="646"/>
      <c r="U53" s="646"/>
      <c r="V53" s="646"/>
      <c r="W53" s="646"/>
      <c r="X53" s="646"/>
      <c r="Y53" s="646"/>
      <c r="Z53" s="646"/>
      <c r="AA53" s="646"/>
      <c r="AB53" s="646"/>
      <c r="AC53" s="646"/>
      <c r="AD53" s="646"/>
      <c r="AE53" s="646"/>
      <c r="AF53" s="646"/>
      <c r="AG53" s="646"/>
      <c r="AH53" s="646"/>
      <c r="AI53" s="646"/>
      <c r="AJ53" s="646"/>
      <c r="AK53" s="646"/>
      <c r="AL53" s="646"/>
      <c r="AM53" s="646"/>
      <c r="AN53" s="646"/>
    </row>
    <row r="54" spans="17:40" ht="12.75">
      <c r="Q54" s="646"/>
      <c r="R54" s="646"/>
      <c r="S54" s="646"/>
      <c r="T54" s="646"/>
      <c r="U54" s="646"/>
      <c r="V54" s="646"/>
      <c r="W54" s="646"/>
      <c r="X54" s="646"/>
      <c r="Y54" s="646"/>
      <c r="Z54" s="646"/>
      <c r="AA54" s="646"/>
      <c r="AB54" s="646"/>
      <c r="AC54" s="646"/>
      <c r="AD54" s="646"/>
      <c r="AE54" s="646"/>
      <c r="AF54" s="646"/>
      <c r="AG54" s="646"/>
      <c r="AH54" s="646"/>
      <c r="AI54" s="646"/>
      <c r="AJ54" s="646"/>
      <c r="AK54" s="646"/>
      <c r="AL54" s="646"/>
      <c r="AM54" s="646"/>
      <c r="AN54" s="646"/>
    </row>
    <row r="55" spans="17:40" ht="12.75">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row>
    <row r="56" spans="17:40" ht="12.75">
      <c r="Q56" s="646"/>
      <c r="R56" s="646"/>
      <c r="S56" s="646"/>
      <c r="T56" s="646"/>
      <c r="U56" s="646"/>
      <c r="V56" s="646"/>
      <c r="W56" s="646"/>
      <c r="X56" s="646"/>
      <c r="Y56" s="646"/>
      <c r="Z56" s="646"/>
      <c r="AA56" s="646"/>
      <c r="AB56" s="646"/>
      <c r="AC56" s="646"/>
      <c r="AD56" s="646"/>
      <c r="AE56" s="646"/>
      <c r="AF56" s="646"/>
      <c r="AG56" s="646"/>
      <c r="AH56" s="646"/>
      <c r="AI56" s="646"/>
      <c r="AJ56" s="646"/>
      <c r="AK56" s="646"/>
      <c r="AL56" s="646"/>
      <c r="AM56" s="646"/>
      <c r="AN56" s="646"/>
    </row>
    <row r="57" spans="17:40" ht="12.75">
      <c r="Q57" s="646"/>
      <c r="R57" s="646"/>
      <c r="S57" s="646"/>
      <c r="T57" s="646"/>
      <c r="U57" s="646"/>
      <c r="V57" s="646"/>
      <c r="W57" s="646"/>
      <c r="X57" s="646"/>
      <c r="Y57" s="646"/>
      <c r="Z57" s="646"/>
      <c r="AA57" s="646"/>
      <c r="AB57" s="646"/>
      <c r="AC57" s="646"/>
      <c r="AD57" s="646"/>
      <c r="AE57" s="646"/>
      <c r="AF57" s="646"/>
      <c r="AG57" s="646"/>
      <c r="AH57" s="646"/>
      <c r="AI57" s="646"/>
      <c r="AJ57" s="646"/>
      <c r="AK57" s="646"/>
      <c r="AL57" s="646"/>
      <c r="AM57" s="646"/>
      <c r="AN57" s="646"/>
    </row>
    <row r="58" spans="17:40" ht="12.75">
      <c r="Q58" s="646"/>
      <c r="R58" s="646"/>
      <c r="S58" s="646"/>
      <c r="T58" s="646"/>
      <c r="U58" s="646"/>
      <c r="V58" s="646"/>
      <c r="W58" s="646"/>
      <c r="X58" s="646"/>
      <c r="Y58" s="646"/>
      <c r="Z58" s="646"/>
      <c r="AA58" s="646"/>
      <c r="AB58" s="646"/>
      <c r="AC58" s="646"/>
      <c r="AD58" s="646"/>
      <c r="AE58" s="646"/>
      <c r="AF58" s="646"/>
      <c r="AG58" s="646"/>
      <c r="AH58" s="646"/>
      <c r="AI58" s="646"/>
      <c r="AJ58" s="646"/>
      <c r="AK58" s="646"/>
      <c r="AL58" s="646"/>
      <c r="AM58" s="646"/>
      <c r="AN58" s="646"/>
    </row>
    <row r="59" spans="17:40" ht="12.75">
      <c r="Q59" s="646"/>
      <c r="R59" s="646"/>
      <c r="S59" s="646"/>
      <c r="T59" s="646"/>
      <c r="U59" s="646"/>
      <c r="V59" s="646"/>
      <c r="W59" s="646"/>
      <c r="X59" s="646"/>
      <c r="Y59" s="646"/>
      <c r="Z59" s="646"/>
      <c r="AA59" s="646"/>
      <c r="AB59" s="646"/>
      <c r="AC59" s="646"/>
      <c r="AD59" s="646"/>
      <c r="AE59" s="646"/>
      <c r="AF59" s="646"/>
      <c r="AG59" s="646"/>
      <c r="AH59" s="646"/>
      <c r="AI59" s="646"/>
      <c r="AJ59" s="646"/>
      <c r="AK59" s="646"/>
      <c r="AL59" s="646"/>
      <c r="AM59" s="646"/>
      <c r="AN59" s="646"/>
    </row>
    <row r="60" spans="17:40" ht="12.75">
      <c r="Q60" s="646"/>
      <c r="R60" s="646"/>
      <c r="S60" s="646"/>
      <c r="T60" s="646"/>
      <c r="U60" s="646"/>
      <c r="V60" s="646"/>
      <c r="W60" s="646"/>
      <c r="X60" s="646"/>
      <c r="Y60" s="646"/>
      <c r="Z60" s="646"/>
      <c r="AA60" s="646"/>
      <c r="AB60" s="646"/>
      <c r="AC60" s="646"/>
      <c r="AD60" s="646"/>
      <c r="AE60" s="646"/>
      <c r="AF60" s="646"/>
      <c r="AG60" s="646"/>
      <c r="AH60" s="646"/>
      <c r="AI60" s="646"/>
      <c r="AJ60" s="646"/>
      <c r="AK60" s="646"/>
      <c r="AL60" s="646"/>
      <c r="AM60" s="646"/>
      <c r="AN60" s="646"/>
    </row>
    <row r="61" spans="17:40" ht="12.75">
      <c r="Q61" s="646"/>
      <c r="R61" s="646"/>
      <c r="S61" s="646"/>
      <c r="T61" s="646"/>
      <c r="U61" s="646"/>
      <c r="V61" s="646"/>
      <c r="W61" s="646"/>
      <c r="X61" s="646"/>
      <c r="Y61" s="646"/>
      <c r="Z61" s="646"/>
      <c r="AA61" s="646"/>
      <c r="AB61" s="646"/>
      <c r="AC61" s="646"/>
      <c r="AD61" s="646"/>
      <c r="AE61" s="646"/>
      <c r="AF61" s="646"/>
      <c r="AG61" s="646"/>
      <c r="AH61" s="646"/>
      <c r="AI61" s="646"/>
      <c r="AJ61" s="646"/>
      <c r="AK61" s="646"/>
      <c r="AL61" s="646"/>
      <c r="AM61" s="646"/>
      <c r="AN61" s="646"/>
    </row>
    <row r="62" spans="17:40" ht="12.75">
      <c r="Q62" s="646"/>
      <c r="R62" s="646"/>
      <c r="S62" s="646"/>
      <c r="T62" s="646"/>
      <c r="U62" s="646"/>
      <c r="V62" s="646"/>
      <c r="W62" s="646"/>
      <c r="X62" s="646"/>
      <c r="Y62" s="646"/>
      <c r="Z62" s="646"/>
      <c r="AA62" s="646"/>
      <c r="AB62" s="646"/>
      <c r="AC62" s="646"/>
      <c r="AD62" s="646"/>
      <c r="AE62" s="646"/>
      <c r="AF62" s="646"/>
      <c r="AG62" s="646"/>
      <c r="AH62" s="646"/>
      <c r="AI62" s="646"/>
      <c r="AJ62" s="646"/>
      <c r="AK62" s="646"/>
      <c r="AL62" s="646"/>
      <c r="AM62" s="646"/>
      <c r="AN62" s="646"/>
    </row>
    <row r="63" spans="17:40" ht="12.75">
      <c r="Q63" s="646"/>
      <c r="R63" s="646"/>
      <c r="S63" s="646"/>
      <c r="T63" s="646"/>
      <c r="U63" s="646"/>
      <c r="V63" s="646"/>
      <c r="W63" s="646"/>
      <c r="X63" s="646"/>
      <c r="Y63" s="646"/>
      <c r="Z63" s="646"/>
      <c r="AA63" s="646"/>
      <c r="AB63" s="646"/>
      <c r="AC63" s="646"/>
      <c r="AD63" s="646"/>
      <c r="AE63" s="646"/>
      <c r="AF63" s="646"/>
      <c r="AG63" s="646"/>
      <c r="AH63" s="646"/>
      <c r="AI63" s="646"/>
      <c r="AJ63" s="646"/>
      <c r="AK63" s="646"/>
      <c r="AL63" s="646"/>
      <c r="AM63" s="646"/>
      <c r="AN63" s="646"/>
    </row>
    <row r="64" spans="17:40" ht="12.75">
      <c r="Q64" s="646"/>
      <c r="R64" s="646"/>
      <c r="S64" s="646"/>
      <c r="T64" s="646"/>
      <c r="U64" s="646"/>
      <c r="V64" s="646"/>
      <c r="W64" s="646"/>
      <c r="X64" s="646"/>
      <c r="Y64" s="646"/>
      <c r="Z64" s="646"/>
      <c r="AA64" s="646"/>
      <c r="AB64" s="646"/>
      <c r="AC64" s="646"/>
      <c r="AD64" s="646"/>
      <c r="AE64" s="646"/>
      <c r="AF64" s="646"/>
      <c r="AG64" s="646"/>
      <c r="AH64" s="646"/>
      <c r="AI64" s="646"/>
      <c r="AJ64" s="646"/>
      <c r="AK64" s="646"/>
      <c r="AL64" s="646"/>
      <c r="AM64" s="646"/>
      <c r="AN64" s="646"/>
    </row>
    <row r="65" spans="17:40" ht="12.75">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row>
    <row r="66" spans="17:40" ht="12.75">
      <c r="Q66" s="646"/>
      <c r="R66" s="646"/>
      <c r="S66" s="646"/>
      <c r="T66" s="646"/>
      <c r="U66" s="646"/>
      <c r="V66" s="646"/>
      <c r="W66" s="646"/>
      <c r="X66" s="646"/>
      <c r="Y66" s="646"/>
      <c r="Z66" s="646"/>
      <c r="AA66" s="646"/>
      <c r="AB66" s="646"/>
      <c r="AC66" s="646"/>
      <c r="AD66" s="646"/>
      <c r="AE66" s="646"/>
      <c r="AF66" s="646"/>
      <c r="AG66" s="646"/>
      <c r="AH66" s="646"/>
      <c r="AI66" s="646"/>
      <c r="AJ66" s="646"/>
      <c r="AK66" s="646"/>
      <c r="AL66" s="646"/>
      <c r="AM66" s="646"/>
      <c r="AN66" s="646"/>
    </row>
    <row r="67" spans="17:40" ht="12.75">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row>
    <row r="68" spans="17:40" ht="12.75">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row>
    <row r="69" spans="17:40" ht="12.75">
      <c r="Q69" s="646"/>
      <c r="R69" s="646"/>
      <c r="S69" s="646"/>
      <c r="T69" s="646"/>
      <c r="U69" s="646"/>
      <c r="V69" s="646"/>
      <c r="W69" s="646"/>
      <c r="X69" s="646"/>
      <c r="Y69" s="646"/>
      <c r="Z69" s="646"/>
      <c r="AA69" s="646"/>
      <c r="AB69" s="646"/>
      <c r="AC69" s="646"/>
      <c r="AD69" s="646"/>
      <c r="AE69" s="646"/>
      <c r="AF69" s="646"/>
      <c r="AG69" s="646"/>
      <c r="AH69" s="646"/>
      <c r="AI69" s="646"/>
      <c r="AJ69" s="646"/>
      <c r="AK69" s="646"/>
      <c r="AL69" s="646"/>
      <c r="AM69" s="646"/>
      <c r="AN69" s="646"/>
    </row>
    <row r="70" spans="17:40" ht="12.75">
      <c r="Q70" s="646"/>
      <c r="R70" s="646"/>
      <c r="S70" s="646"/>
      <c r="T70" s="646"/>
      <c r="U70" s="646"/>
      <c r="V70" s="646"/>
      <c r="W70" s="646"/>
      <c r="X70" s="646"/>
      <c r="Y70" s="646"/>
      <c r="Z70" s="646"/>
      <c r="AA70" s="646"/>
      <c r="AB70" s="646"/>
      <c r="AC70" s="646"/>
      <c r="AD70" s="646"/>
      <c r="AE70" s="646"/>
      <c r="AF70" s="646"/>
      <c r="AG70" s="646"/>
      <c r="AH70" s="646"/>
      <c r="AI70" s="646"/>
      <c r="AJ70" s="646"/>
      <c r="AK70" s="646"/>
      <c r="AL70" s="646"/>
      <c r="AM70" s="646"/>
      <c r="AN70" s="646"/>
    </row>
  </sheetData>
  <mergeCells count="10">
    <mergeCell ref="AI39:AK39"/>
    <mergeCell ref="D9:J9"/>
    <mergeCell ref="L9:M9"/>
    <mergeCell ref="O9:U9"/>
    <mergeCell ref="W9:AM9"/>
    <mergeCell ref="F10:H10"/>
    <mergeCell ref="Q10:S10"/>
    <mergeCell ref="W10:AA10"/>
    <mergeCell ref="AC10:AG10"/>
    <mergeCell ref="AI10:AM10"/>
  </mergeCells>
  <pageMargins left="0.25" right="0.25" top="0.75" bottom="0.75" header="0.3" footer="0.3"/>
  <pageSetup fitToHeight="0" orientation="landscape" scale="38"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3D31-74EE-47B5-A250-1290AFEC5586}">
  <sheetPr>
    <pageSetUpPr fitToPage="1"/>
  </sheetPr>
  <dimension ref="A1:P67"/>
  <sheetViews>
    <sheetView showGridLines="0" view="pageBreakPreview" zoomScale="60" zoomScaleNormal="100" workbookViewId="0" topLeftCell="A1"/>
  </sheetViews>
  <sheetFormatPr defaultColWidth="11.4255555555556" defaultRowHeight="15"/>
  <cols>
    <col min="1" max="1" width="5.88888888888889" style="650" customWidth="1"/>
    <col min="2" max="2" width="52.3333333333333" style="650" customWidth="1"/>
    <col min="3" max="5" width="16.3333333333333" style="650" customWidth="1"/>
    <col min="6" max="6" width="6.55555555555556" style="650" customWidth="1"/>
    <col min="7" max="8" width="16.3333333333333" style="650" customWidth="1"/>
    <col min="9" max="9" width="6.55555555555556" style="650" customWidth="1"/>
    <col min="10" max="11" width="16.3333333333333" style="650" customWidth="1"/>
    <col min="12" max="12" width="6.55555555555556" style="650" customWidth="1"/>
    <col min="13" max="13" width="16.3333333333333" style="650" customWidth="1"/>
    <col min="14" max="35" width="12.5555555555556" style="650" customWidth="1"/>
    <col min="36" max="16384" width="11.4444444444444" style="650"/>
  </cols>
  <sheetData>
    <row r="1" spans="1:14" ht="16.5">
      <c r="A1" s="649" t="s">
        <v>991</v>
      </c>
      <c r="E1" s="651"/>
      <c r="F1" s="651"/>
      <c r="G1" s="652"/>
      <c r="H1" s="652"/>
      <c r="I1" s="652"/>
      <c r="J1" s="652"/>
      <c r="K1" s="652"/>
      <c r="L1" s="652"/>
      <c r="M1" s="652"/>
      <c r="N1" s="652"/>
    </row>
    <row r="2" spans="1:14" ht="16.5">
      <c r="A2" s="653" t="s">
        <v>992</v>
      </c>
      <c r="E2" s="653"/>
      <c r="F2" s="653"/>
      <c r="G2" s="652"/>
      <c r="H2" s="652"/>
      <c r="I2" s="652"/>
      <c r="J2" s="652"/>
      <c r="K2" s="652"/>
      <c r="L2" s="652"/>
      <c r="M2" s="652"/>
      <c r="N2" s="652"/>
    </row>
    <row r="3" spans="1:14" ht="16.5">
      <c r="A3" s="654" t="s">
        <v>993</v>
      </c>
      <c r="B3" s="655"/>
      <c r="E3" s="656"/>
      <c r="F3" s="656"/>
      <c r="G3" s="657"/>
      <c r="H3" s="657"/>
      <c r="I3" s="657"/>
      <c r="K3" s="657"/>
      <c r="L3" s="652"/>
      <c r="M3" s="652"/>
      <c r="N3" s="652"/>
    </row>
    <row r="4" spans="1:14" ht="16.5">
      <c r="A4" s="654" t="s">
        <v>994</v>
      </c>
      <c r="B4" s="655"/>
      <c r="E4" s="656"/>
      <c r="F4" s="656"/>
      <c r="G4" s="657"/>
      <c r="H4" s="657"/>
      <c r="I4" s="657"/>
      <c r="K4" s="657"/>
      <c r="L4" s="652"/>
      <c r="M4" s="652"/>
      <c r="N4" s="652"/>
    </row>
    <row r="5" spans="2:14" ht="16.5">
      <c r="B5" s="652"/>
      <c r="C5" s="652"/>
      <c r="D5" s="652"/>
      <c r="E5" s="652"/>
      <c r="F5" s="652"/>
      <c r="G5" s="657"/>
      <c r="H5" s="657"/>
      <c r="I5" s="657"/>
      <c r="J5" s="657"/>
      <c r="K5" s="657"/>
      <c r="L5" s="652"/>
      <c r="M5" s="652"/>
      <c r="N5" s="652"/>
    </row>
    <row r="6" spans="1:14" ht="16.5">
      <c r="A6" s="652"/>
      <c r="B6" s="652" t="s">
        <v>914</v>
      </c>
      <c r="C6" s="658" t="s">
        <v>915</v>
      </c>
      <c r="D6" s="659" t="s">
        <v>916</v>
      </c>
      <c r="E6" s="659" t="s">
        <v>917</v>
      </c>
      <c r="F6" s="652"/>
      <c r="G6" s="659" t="s">
        <v>995</v>
      </c>
      <c r="H6" s="659" t="s">
        <v>919</v>
      </c>
      <c r="I6" s="659"/>
      <c r="J6" s="658" t="s">
        <v>920</v>
      </c>
      <c r="K6" s="659" t="s">
        <v>921</v>
      </c>
      <c r="L6" s="652"/>
      <c r="M6" s="658" t="s">
        <v>996</v>
      </c>
      <c r="N6" s="652"/>
    </row>
    <row r="7" spans="1:14" ht="16.5">
      <c r="A7" s="652"/>
      <c r="B7" s="660"/>
      <c r="C7" s="660"/>
      <c r="D7" s="660"/>
      <c r="E7" s="661" t="s">
        <v>997</v>
      </c>
      <c r="F7" s="652"/>
      <c r="G7" s="662" t="s">
        <v>998</v>
      </c>
      <c r="H7" s="662" t="s">
        <v>998</v>
      </c>
      <c r="I7" s="659"/>
      <c r="J7" s="663"/>
      <c r="K7" s="663"/>
      <c r="L7" s="652"/>
      <c r="M7" s="661" t="s">
        <v>999</v>
      </c>
      <c r="N7" s="652"/>
    </row>
    <row r="8" spans="1:14" ht="33">
      <c r="A8" s="652"/>
      <c r="B8" s="652"/>
      <c r="C8" s="652"/>
      <c r="D8" s="652"/>
      <c r="E8" s="652"/>
      <c r="F8" s="652"/>
      <c r="G8" s="664" t="s">
        <v>1000</v>
      </c>
      <c r="H8" s="664" t="s">
        <v>1000</v>
      </c>
      <c r="I8" s="665"/>
      <c r="J8" s="666" t="s">
        <v>1001</v>
      </c>
      <c r="K8" s="666" t="s">
        <v>1001</v>
      </c>
      <c r="L8" s="652"/>
      <c r="M8" s="666" t="s">
        <v>1001</v>
      </c>
      <c r="N8" s="652"/>
    </row>
    <row r="9" spans="1:14" ht="49.5">
      <c r="A9" s="667" t="s">
        <v>1</v>
      </c>
      <c r="B9" s="660" t="s">
        <v>943</v>
      </c>
      <c r="C9" s="667" t="s">
        <v>1002</v>
      </c>
      <c r="D9" s="667" t="s">
        <v>1003</v>
      </c>
      <c r="E9" s="667" t="s">
        <v>1004</v>
      </c>
      <c r="F9" s="649"/>
      <c r="G9" s="668" t="s">
        <v>1005</v>
      </c>
      <c r="H9" s="668" t="s">
        <v>1006</v>
      </c>
      <c r="I9" s="669"/>
      <c r="J9" s="670" t="s">
        <v>947</v>
      </c>
      <c r="K9" s="671" t="s">
        <v>948</v>
      </c>
      <c r="L9" s="652"/>
      <c r="M9" s="670" t="s">
        <v>20</v>
      </c>
      <c r="N9" s="652"/>
    </row>
    <row r="10" spans="1:14" ht="16.5">
      <c r="A10" s="652"/>
      <c r="B10" s="652"/>
      <c r="C10" s="652"/>
      <c r="D10" s="652"/>
      <c r="E10" s="652"/>
      <c r="F10" s="652"/>
      <c r="G10" s="672"/>
      <c r="H10" s="672"/>
      <c r="I10" s="672"/>
      <c r="J10" s="652"/>
      <c r="K10" s="672"/>
      <c r="L10" s="652"/>
      <c r="M10" s="652"/>
      <c r="N10" s="652"/>
    </row>
    <row r="11" spans="1:14" ht="18.75">
      <c r="A11" s="652"/>
      <c r="B11" s="673" t="s">
        <v>953</v>
      </c>
      <c r="C11" s="673"/>
      <c r="D11" s="673"/>
      <c r="E11" s="674"/>
      <c r="F11" s="674"/>
      <c r="G11" s="672"/>
      <c r="H11" s="672"/>
      <c r="I11" s="672"/>
      <c r="J11" s="652"/>
      <c r="K11" s="672"/>
      <c r="L11" s="652"/>
      <c r="M11" s="652"/>
      <c r="N11" s="652"/>
    </row>
    <row r="12" spans="1:14" ht="16.5">
      <c r="A12" s="658" t="s">
        <v>954</v>
      </c>
      <c r="B12" s="675" t="s">
        <v>955</v>
      </c>
      <c r="C12" s="675">
        <v>9343464</v>
      </c>
      <c r="D12" s="676">
        <v>0.104</v>
      </c>
      <c r="E12" s="675">
        <f>C12*D12</f>
        <v>971720.25599999994</v>
      </c>
      <c r="F12" s="677"/>
      <c r="G12" s="672">
        <f t="shared" si="0" ref="G12:H14">ROUND($E12*G$38,0)</f>
        <v>251861</v>
      </c>
      <c r="H12" s="672">
        <f t="shared" si="0"/>
        <v>166723</v>
      </c>
      <c r="I12" s="672"/>
      <c r="J12" s="678">
        <v>85138</v>
      </c>
      <c r="K12" s="679">
        <v>0</v>
      </c>
      <c r="L12" s="652"/>
      <c r="M12" s="680">
        <f>G12-H12</f>
        <v>85138</v>
      </c>
      <c r="N12" s="680"/>
    </row>
    <row r="13" spans="1:14" ht="16.5">
      <c r="A13" s="658" t="s">
        <v>958</v>
      </c>
      <c r="B13" s="675" t="s">
        <v>959</v>
      </c>
      <c r="C13" s="675">
        <v>1382365</v>
      </c>
      <c r="D13" s="676">
        <v>0.104</v>
      </c>
      <c r="E13" s="675">
        <f>C13*D13</f>
        <v>143765.95999999999</v>
      </c>
      <c r="F13" s="677"/>
      <c r="G13" s="672">
        <f t="shared" si="0"/>
        <v>37263</v>
      </c>
      <c r="H13" s="672">
        <f t="shared" si="0"/>
        <v>24667</v>
      </c>
      <c r="I13" s="672"/>
      <c r="J13" s="678">
        <v>12596</v>
      </c>
      <c r="K13" s="679">
        <v>0</v>
      </c>
      <c r="L13" s="652"/>
      <c r="M13" s="680">
        <f>G13-H13</f>
        <v>12596</v>
      </c>
      <c r="N13" s="680"/>
    </row>
    <row r="14" spans="1:14" ht="16.5">
      <c r="A14" s="658" t="s">
        <v>960</v>
      </c>
      <c r="B14" s="675"/>
      <c r="C14" s="675"/>
      <c r="D14" s="675"/>
      <c r="E14" s="675"/>
      <c r="F14" s="677"/>
      <c r="G14" s="672">
        <f t="shared" si="0"/>
        <v>0</v>
      </c>
      <c r="H14" s="672">
        <f t="shared" si="0"/>
        <v>0</v>
      </c>
      <c r="I14" s="672"/>
      <c r="J14" s="678"/>
      <c r="K14" s="679"/>
      <c r="L14" s="652"/>
      <c r="M14" s="680">
        <f>G14-H14</f>
        <v>0</v>
      </c>
      <c r="N14" s="680"/>
    </row>
    <row r="15" spans="1:14" ht="16.5">
      <c r="A15" s="658">
        <v>1</v>
      </c>
      <c r="B15" s="681" t="s">
        <v>962</v>
      </c>
      <c r="C15" s="682">
        <f>SUM(C12:C14)</f>
        <v>10725829</v>
      </c>
      <c r="D15" s="681"/>
      <c r="E15" s="682">
        <f>SUM(E12:E14)</f>
        <v>1115486.216</v>
      </c>
      <c r="F15" s="683"/>
      <c r="G15" s="682">
        <f>SUM(G12:G14)</f>
        <v>289124</v>
      </c>
      <c r="H15" s="682">
        <f>SUM(H12:H14)</f>
        <v>191390</v>
      </c>
      <c r="I15" s="672"/>
      <c r="J15" s="682">
        <f>SUM(J12:J14)</f>
        <v>97734</v>
      </c>
      <c r="K15" s="682">
        <f>SUM(K12:K14)</f>
        <v>0</v>
      </c>
      <c r="L15" s="652"/>
      <c r="M15" s="682">
        <f>SUM(M12:M14)</f>
        <v>97734</v>
      </c>
      <c r="N15" s="680"/>
    </row>
    <row r="16" spans="1:14" ht="16.5">
      <c r="A16" s="658"/>
      <c r="B16" s="677"/>
      <c r="C16" s="677"/>
      <c r="D16" s="677"/>
      <c r="E16" s="677"/>
      <c r="F16" s="677"/>
      <c r="G16" s="672"/>
      <c r="H16" s="672"/>
      <c r="I16" s="672"/>
      <c r="J16" s="652"/>
      <c r="K16" s="672"/>
      <c r="L16" s="652"/>
      <c r="M16" s="652"/>
      <c r="N16" s="652"/>
    </row>
    <row r="17" spans="1:14" ht="18.75">
      <c r="A17" s="658"/>
      <c r="B17" s="673" t="s">
        <v>963</v>
      </c>
      <c r="C17" s="673"/>
      <c r="D17" s="673"/>
      <c r="E17" s="674"/>
      <c r="F17" s="674"/>
      <c r="G17" s="672"/>
      <c r="H17" s="672"/>
      <c r="I17" s="672"/>
      <c r="J17" s="652"/>
      <c r="K17" s="672"/>
      <c r="L17" s="652"/>
      <c r="M17" s="652"/>
      <c r="N17" s="652"/>
    </row>
    <row r="18" spans="1:14" ht="16.5">
      <c r="A18" s="658" t="s">
        <v>964</v>
      </c>
      <c r="B18" s="675" t="s">
        <v>965</v>
      </c>
      <c r="C18" s="675">
        <v>-9343464</v>
      </c>
      <c r="D18" s="676">
        <v>0.104</v>
      </c>
      <c r="E18" s="675">
        <f t="shared" si="1" ref="E18:E19">C18*D18</f>
        <v>-971720.25599999994</v>
      </c>
      <c r="F18" s="677"/>
      <c r="G18" s="672">
        <f t="shared" si="2" ref="G18:H20">ROUND($E18*G$38,0)</f>
        <v>-251861</v>
      </c>
      <c r="H18" s="672">
        <f t="shared" si="2"/>
        <v>-166723</v>
      </c>
      <c r="I18" s="672"/>
      <c r="J18" s="678">
        <v>-85138</v>
      </c>
      <c r="K18" s="679">
        <v>0</v>
      </c>
      <c r="L18" s="652"/>
      <c r="M18" s="680">
        <f>G18-H18</f>
        <v>-85138</v>
      </c>
      <c r="N18" s="652"/>
    </row>
    <row r="19" spans="1:14" ht="16.5">
      <c r="A19" s="658" t="s">
        <v>967</v>
      </c>
      <c r="B19" s="675" t="s">
        <v>968</v>
      </c>
      <c r="C19" s="675">
        <v>-2569252</v>
      </c>
      <c r="D19" s="676">
        <v>0.104</v>
      </c>
      <c r="E19" s="675">
        <f t="shared" si="1"/>
        <v>-267202.20799999998</v>
      </c>
      <c r="F19" s="677"/>
      <c r="G19" s="672">
        <f t="shared" si="2"/>
        <v>-69256</v>
      </c>
      <c r="H19" s="672">
        <f t="shared" si="2"/>
        <v>-45845</v>
      </c>
      <c r="I19" s="672"/>
      <c r="J19" s="678">
        <v>-23411</v>
      </c>
      <c r="K19" s="679">
        <v>0</v>
      </c>
      <c r="L19" s="652"/>
      <c r="M19" s="680">
        <f>G19-H19</f>
        <v>-23411</v>
      </c>
      <c r="N19" s="652"/>
    </row>
    <row r="20" spans="1:14" ht="16.5">
      <c r="A20" s="658" t="s">
        <v>969</v>
      </c>
      <c r="B20" s="675"/>
      <c r="C20" s="675"/>
      <c r="D20" s="675"/>
      <c r="E20" s="675"/>
      <c r="F20" s="677"/>
      <c r="G20" s="672">
        <f t="shared" si="2"/>
        <v>0</v>
      </c>
      <c r="H20" s="672">
        <f t="shared" si="2"/>
        <v>0</v>
      </c>
      <c r="I20" s="672"/>
      <c r="J20" s="678"/>
      <c r="K20" s="679"/>
      <c r="L20" s="652"/>
      <c r="M20" s="680">
        <f>G20-H20</f>
        <v>0</v>
      </c>
      <c r="N20" s="652"/>
    </row>
    <row r="21" spans="1:14" ht="16.5">
      <c r="A21" s="658">
        <v>2</v>
      </c>
      <c r="B21" s="681" t="s">
        <v>970</v>
      </c>
      <c r="C21" s="682">
        <f>SUM(C18:C20)</f>
        <v>-11912716</v>
      </c>
      <c r="D21" s="681"/>
      <c r="E21" s="682">
        <f>SUM(E18:E20)</f>
        <v>-1238922.4639999999</v>
      </c>
      <c r="F21" s="683"/>
      <c r="G21" s="682">
        <f>SUM(G18:G20)</f>
        <v>-321117</v>
      </c>
      <c r="H21" s="682">
        <f>SUM(H18:H20)</f>
        <v>-212568</v>
      </c>
      <c r="I21" s="672"/>
      <c r="J21" s="682">
        <f>SUM(J18:J20)</f>
        <v>-108549</v>
      </c>
      <c r="K21" s="682">
        <f>SUM(K18:K20)</f>
        <v>0</v>
      </c>
      <c r="L21" s="652"/>
      <c r="M21" s="682">
        <f>SUM(M18:M20)</f>
        <v>-108549</v>
      </c>
      <c r="N21" s="652"/>
    </row>
    <row r="22" spans="1:14" ht="16.5">
      <c r="A22" s="658"/>
      <c r="B22" s="677"/>
      <c r="C22" s="677"/>
      <c r="D22" s="677"/>
      <c r="E22" s="677"/>
      <c r="F22" s="677"/>
      <c r="G22" s="672"/>
      <c r="H22" s="672"/>
      <c r="I22" s="672"/>
      <c r="J22" s="652"/>
      <c r="K22" s="672"/>
      <c r="L22" s="652"/>
      <c r="M22" s="652"/>
      <c r="N22" s="652"/>
    </row>
    <row r="23" spans="1:14" ht="18.75">
      <c r="A23" s="658"/>
      <c r="B23" s="673" t="s">
        <v>971</v>
      </c>
      <c r="C23" s="673"/>
      <c r="D23" s="673"/>
      <c r="E23" s="674"/>
      <c r="F23" s="674"/>
      <c r="G23" s="672"/>
      <c r="H23" s="672"/>
      <c r="I23" s="672"/>
      <c r="J23" s="652"/>
      <c r="K23" s="672"/>
      <c r="L23" s="652"/>
      <c r="M23" s="652"/>
      <c r="N23" s="652"/>
    </row>
    <row r="24" spans="1:16" ht="16.5">
      <c r="A24" s="658" t="s">
        <v>284</v>
      </c>
      <c r="B24" s="675" t="s">
        <v>972</v>
      </c>
      <c r="C24" s="675">
        <v>-47622</v>
      </c>
      <c r="D24" s="676">
        <v>0.104</v>
      </c>
      <c r="E24" s="675">
        <f t="shared" si="3" ref="E24:E25">C24*D24</f>
        <v>-4952.6880000000001</v>
      </c>
      <c r="F24" s="677"/>
      <c r="G24" s="672">
        <f t="shared" si="4" ref="G24:H26">ROUND($E24*G$38,0)</f>
        <v>-1284</v>
      </c>
      <c r="H24" s="672">
        <f t="shared" si="4"/>
        <v>-850</v>
      </c>
      <c r="I24" s="672"/>
      <c r="J24" s="678">
        <v>0</v>
      </c>
      <c r="K24" s="679">
        <v>-434</v>
      </c>
      <c r="L24" s="652"/>
      <c r="M24" s="680">
        <f>G24-H24</f>
        <v>-434</v>
      </c>
      <c r="N24" s="652"/>
      <c r="O24" s="684"/>
      <c r="P24" s="684"/>
    </row>
    <row r="25" spans="1:16" ht="16.5">
      <c r="A25" s="658" t="s">
        <v>285</v>
      </c>
      <c r="B25" s="675" t="s">
        <v>974</v>
      </c>
      <c r="C25" s="675">
        <v>-87361</v>
      </c>
      <c r="D25" s="676">
        <v>0.104</v>
      </c>
      <c r="E25" s="675">
        <f t="shared" si="3"/>
        <v>-9085.5439999999999</v>
      </c>
      <c r="F25" s="677"/>
      <c r="G25" s="672">
        <f t="shared" si="4"/>
        <v>-2355</v>
      </c>
      <c r="H25" s="672">
        <f t="shared" si="4"/>
        <v>-1559</v>
      </c>
      <c r="I25" s="672"/>
      <c r="J25" s="678">
        <v>0</v>
      </c>
      <c r="K25" s="679">
        <v>-796</v>
      </c>
      <c r="L25" s="652"/>
      <c r="M25" s="680">
        <f>G25-H25</f>
        <v>-796</v>
      </c>
      <c r="N25" s="652"/>
      <c r="O25" s="684"/>
      <c r="P25" s="684"/>
    </row>
    <row r="26" spans="1:14" ht="16.5">
      <c r="A26" s="658" t="s">
        <v>975</v>
      </c>
      <c r="B26" s="675"/>
      <c r="C26" s="675"/>
      <c r="D26" s="675"/>
      <c r="E26" s="675"/>
      <c r="F26" s="677"/>
      <c r="G26" s="672">
        <f t="shared" si="4"/>
        <v>0</v>
      </c>
      <c r="H26" s="672">
        <f t="shared" si="4"/>
        <v>0</v>
      </c>
      <c r="I26" s="672"/>
      <c r="J26" s="678"/>
      <c r="K26" s="679"/>
      <c r="L26" s="652"/>
      <c r="M26" s="680">
        <f>G26-H26</f>
        <v>0</v>
      </c>
      <c r="N26" s="652"/>
    </row>
    <row r="27" spans="1:14" ht="16.5">
      <c r="A27" s="658">
        <v>3</v>
      </c>
      <c r="B27" s="681" t="s">
        <v>976</v>
      </c>
      <c r="C27" s="682">
        <f>SUM(C24:C26)</f>
        <v>-134983</v>
      </c>
      <c r="D27" s="681"/>
      <c r="E27" s="682">
        <f>SUM(E24:E26)</f>
        <v>-14038.232</v>
      </c>
      <c r="F27" s="683"/>
      <c r="G27" s="682">
        <f>SUM(G24:G26)</f>
        <v>-3639</v>
      </c>
      <c r="H27" s="682">
        <f>SUM(H24:H26)</f>
        <v>-2409</v>
      </c>
      <c r="I27" s="672"/>
      <c r="J27" s="682">
        <f>SUM(J24:J26)</f>
        <v>0</v>
      </c>
      <c r="K27" s="682">
        <f>SUM(K24:K26)</f>
        <v>-1230</v>
      </c>
      <c r="L27" s="652"/>
      <c r="M27" s="682">
        <f>SUM(M24:M26)</f>
        <v>-1230</v>
      </c>
      <c r="N27" s="652"/>
    </row>
    <row r="28" spans="1:14" ht="16.5">
      <c r="A28" s="658"/>
      <c r="B28" s="683"/>
      <c r="C28" s="683"/>
      <c r="D28" s="683"/>
      <c r="E28" s="683"/>
      <c r="F28" s="683"/>
      <c r="G28" s="672"/>
      <c r="H28" s="672"/>
      <c r="I28" s="672"/>
      <c r="J28" s="672"/>
      <c r="K28" s="672"/>
      <c r="L28" s="652"/>
      <c r="M28" s="672"/>
      <c r="N28" s="652"/>
    </row>
    <row r="29" spans="1:14" ht="16.5">
      <c r="A29" s="658">
        <v>4</v>
      </c>
      <c r="B29" s="652" t="s">
        <v>1007</v>
      </c>
      <c r="C29" s="682">
        <f>C15+C21+C27</f>
        <v>-1321870</v>
      </c>
      <c r="D29" s="652"/>
      <c r="E29" s="682">
        <f>E15+E21+E27</f>
        <v>-137474.47999999989</v>
      </c>
      <c r="F29" s="649"/>
      <c r="G29" s="682">
        <f>G15+G21+G27</f>
        <v>-35632</v>
      </c>
      <c r="H29" s="682">
        <f>H15+H21+H27</f>
        <v>-23587</v>
      </c>
      <c r="I29" s="672"/>
      <c r="J29" s="682">
        <f>J15+J21+J27</f>
        <v>-10815</v>
      </c>
      <c r="K29" s="682">
        <f>K15+K21+K27</f>
        <v>-1230</v>
      </c>
      <c r="L29" s="652"/>
      <c r="M29" s="682">
        <f>M15+M21+M27</f>
        <v>-12045</v>
      </c>
      <c r="N29" s="652"/>
    </row>
    <row r="30" spans="1:14" ht="16.5">
      <c r="A30" s="658"/>
      <c r="B30" s="660"/>
      <c r="C30" s="660"/>
      <c r="D30" s="660"/>
      <c r="E30" s="660"/>
      <c r="F30" s="660"/>
      <c r="G30" s="660"/>
      <c r="H30" s="660"/>
      <c r="I30" s="660"/>
      <c r="J30" s="660"/>
      <c r="K30" s="660"/>
      <c r="L30" s="660"/>
      <c r="M30" s="660"/>
      <c r="N30" s="652"/>
    </row>
    <row r="31" spans="1:14" ht="16.5">
      <c r="A31" s="658"/>
      <c r="B31" s="652"/>
      <c r="C31" s="652"/>
      <c r="D31" s="652"/>
      <c r="E31" s="652"/>
      <c r="F31" s="652"/>
      <c r="G31" s="652"/>
      <c r="H31" s="652"/>
      <c r="I31" s="652"/>
      <c r="J31" s="652"/>
      <c r="K31" s="652"/>
      <c r="L31" s="652"/>
      <c r="M31" s="652"/>
      <c r="N31" s="652"/>
    </row>
    <row r="32" spans="1:14" ht="16.5">
      <c r="A32" s="658"/>
      <c r="B32" s="685" t="s">
        <v>1008</v>
      </c>
      <c r="C32" s="686" t="s">
        <v>36</v>
      </c>
      <c r="D32" s="685"/>
      <c r="E32" s="685"/>
      <c r="F32" s="685"/>
      <c r="G32" s="687" t="s">
        <v>1009</v>
      </c>
      <c r="H32" s="687" t="s">
        <v>1010</v>
      </c>
      <c r="I32" s="652"/>
      <c r="J32" s="652"/>
      <c r="K32" s="652"/>
      <c r="L32" s="652"/>
      <c r="M32" s="652"/>
      <c r="N32" s="652"/>
    </row>
    <row r="33" spans="1:14" ht="16.5">
      <c r="A33" s="658">
        <v>5</v>
      </c>
      <c r="B33" s="652" t="s">
        <v>1011</v>
      </c>
      <c r="C33" s="652"/>
      <c r="D33" s="652"/>
      <c r="E33" s="652"/>
      <c r="F33" s="652"/>
      <c r="G33" s="688">
        <v>0.34999999999999998</v>
      </c>
      <c r="H33" s="688">
        <v>0.20999999999999999</v>
      </c>
      <c r="I33" s="652"/>
      <c r="J33" s="652"/>
      <c r="K33" s="652"/>
      <c r="L33" s="652"/>
      <c r="M33" s="652"/>
      <c r="N33" s="652"/>
    </row>
    <row r="34" spans="1:14" ht="16.5">
      <c r="A34" s="658">
        <v>6</v>
      </c>
      <c r="B34" s="652" t="s">
        <v>1012</v>
      </c>
      <c r="C34" s="652"/>
      <c r="D34" s="652"/>
      <c r="E34" s="652"/>
      <c r="F34" s="652"/>
      <c r="G34" s="688">
        <v>0.060559749999999996</v>
      </c>
      <c r="H34" s="688">
        <v>0.060559749999999996</v>
      </c>
      <c r="I34" s="652"/>
      <c r="J34" s="652"/>
      <c r="K34" s="652"/>
      <c r="L34" s="652"/>
      <c r="M34" s="652"/>
      <c r="N34" s="652"/>
    </row>
    <row r="35" spans="1:14" ht="16.5">
      <c r="A35" s="658">
        <v>7</v>
      </c>
      <c r="B35" s="652" t="s">
        <v>1013</v>
      </c>
      <c r="C35" s="652"/>
      <c r="D35" s="652"/>
      <c r="E35" s="652"/>
      <c r="F35" s="652"/>
      <c r="G35" s="688">
        <v>0.38791337397533798</v>
      </c>
      <c r="H35" s="688">
        <v>0.25678548389111622</v>
      </c>
      <c r="I35" s="652"/>
      <c r="J35" s="652"/>
      <c r="K35" s="652"/>
      <c r="L35" s="652"/>
      <c r="M35" s="652"/>
      <c r="N35" s="652"/>
    </row>
    <row r="36" spans="1:14" ht="16.5">
      <c r="A36" s="658">
        <v>8</v>
      </c>
      <c r="B36" s="652" t="s">
        <v>1014</v>
      </c>
      <c r="C36" s="652" t="str">
        <f>"(Line "&amp;A35&amp;"-Line "&amp;A34&amp;")"</f>
        <v>(Line 7-Line 6)</v>
      </c>
      <c r="D36" s="652"/>
      <c r="E36" s="652"/>
      <c r="F36" s="652"/>
      <c r="G36" s="689">
        <f>G35-G34</f>
        <v>0.32735362397533796</v>
      </c>
      <c r="H36" s="689">
        <f>H35-H34</f>
        <v>0.19622573389111622</v>
      </c>
      <c r="I36" s="652"/>
      <c r="J36" s="652"/>
      <c r="K36" s="652"/>
      <c r="L36" s="652"/>
      <c r="M36" s="652"/>
      <c r="N36" s="652"/>
    </row>
    <row r="37" spans="1:14" ht="16.5">
      <c r="A37" s="658"/>
      <c r="B37" s="652"/>
      <c r="C37" s="652"/>
      <c r="D37" s="652"/>
      <c r="E37" s="652"/>
      <c r="F37" s="652"/>
      <c r="G37" s="689"/>
      <c r="H37" s="689"/>
      <c r="I37" s="652"/>
      <c r="J37" s="652"/>
      <c r="K37" s="652"/>
      <c r="L37" s="652"/>
      <c r="M37" s="652"/>
      <c r="N37" s="652"/>
    </row>
    <row r="38" spans="1:14" ht="16.5">
      <c r="A38" s="690">
        <v>9</v>
      </c>
      <c r="B38" s="691" t="s">
        <v>1015</v>
      </c>
      <c r="C38" s="652" t="str">
        <f>"(Line "&amp;A35&amp;"/(1-Line "&amp;A35&amp;"))*((1-Line "&amp;A40&amp;")/"&amp;"(1+(Line "&amp;A35&amp;"/(1-Line "&amp;A35&amp;"))*(1-Line"&amp;A40&amp;"))"</f>
        <v>(Line 7/(1-Line 7))*((1-Line 10)/(1+(Line 7/(1-Line 7))*(1-Line10))</v>
      </c>
      <c r="D38" s="691"/>
      <c r="E38" s="692"/>
      <c r="F38" s="691"/>
      <c r="G38" s="689">
        <f>(G35/(1-G35))*(1-G40)/(1+(G35/(1-G35)))</f>
        <v>0.25919040330332599</v>
      </c>
      <c r="H38" s="689">
        <f>(H35/(1-H35))*(1-H40)/(1+(H35/(1-H35)))</f>
        <v>0.17157524745823674</v>
      </c>
      <c r="I38" s="652"/>
      <c r="J38" s="652"/>
      <c r="K38" s="652"/>
      <c r="L38" s="652"/>
      <c r="M38" s="652"/>
      <c r="N38" s="652"/>
    </row>
    <row r="39" spans="1:14" ht="16.5">
      <c r="A39" s="658"/>
      <c r="B39" s="652"/>
      <c r="C39" s="652"/>
      <c r="D39" s="652"/>
      <c r="E39" s="652"/>
      <c r="F39" s="652"/>
      <c r="G39" s="693"/>
      <c r="H39" s="693"/>
      <c r="I39" s="652"/>
      <c r="J39" s="652"/>
      <c r="K39" s="652"/>
      <c r="L39" s="652"/>
      <c r="M39" s="652"/>
      <c r="N39" s="652"/>
    </row>
    <row r="40" spans="1:14" ht="16.5">
      <c r="A40" s="658">
        <v>10</v>
      </c>
      <c r="B40" s="652" t="s">
        <v>1016</v>
      </c>
      <c r="C40" s="652"/>
      <c r="D40" s="652"/>
      <c r="E40" s="652"/>
      <c r="F40" s="652"/>
      <c r="G40" s="694">
        <v>0.33183432000000002</v>
      </c>
      <c r="H40" s="694">
        <v>0.33183432000000002</v>
      </c>
      <c r="I40" s="652"/>
      <c r="J40" s="652"/>
      <c r="K40" s="652"/>
      <c r="L40" s="652"/>
      <c r="M40" s="652"/>
      <c r="N40" s="652"/>
    </row>
    <row r="41" spans="1:14" ht="16.5">
      <c r="A41" s="658"/>
      <c r="B41" s="652"/>
      <c r="C41" s="652"/>
      <c r="D41" s="652"/>
      <c r="E41" s="652"/>
      <c r="F41" s="652"/>
      <c r="G41" s="652"/>
      <c r="H41" s="652"/>
      <c r="I41" s="652"/>
      <c r="J41" s="652"/>
      <c r="K41" s="652"/>
      <c r="L41" s="652"/>
      <c r="M41" s="652"/>
      <c r="N41" s="652"/>
    </row>
    <row r="42" spans="1:14" ht="16.5">
      <c r="A42" s="658">
        <v>11</v>
      </c>
      <c r="B42" s="652" t="s">
        <v>1017</v>
      </c>
      <c r="C42" s="652" t="str">
        <f>"(1/(1-Line "&amp;A38&amp;"))"</f>
        <v>(1/(1-Line 9))</v>
      </c>
      <c r="D42" s="652"/>
      <c r="E42" s="652"/>
      <c r="F42" s="652"/>
      <c r="G42" s="695">
        <f>1/(1-G38)</f>
        <v>1.3498745216842163</v>
      </c>
      <c r="H42" s="695">
        <f>1/(1-H38)</f>
        <v>1.2071102377516021</v>
      </c>
      <c r="I42" s="652"/>
      <c r="J42" s="652"/>
      <c r="K42" s="652"/>
      <c r="L42" s="652"/>
      <c r="M42" s="652"/>
      <c r="N42" s="652"/>
    </row>
    <row r="43" spans="1:14" ht="16.5">
      <c r="A43" s="658"/>
      <c r="B43" s="652"/>
      <c r="C43" s="652"/>
      <c r="D43" s="652"/>
      <c r="E43" s="652"/>
      <c r="F43" s="652"/>
      <c r="G43" s="695"/>
      <c r="H43" s="695"/>
      <c r="I43" s="652"/>
      <c r="J43" s="652"/>
      <c r="K43" s="652"/>
      <c r="L43" s="652"/>
      <c r="M43" s="652"/>
      <c r="N43" s="652"/>
    </row>
    <row r="44" spans="1:14" ht="16.5">
      <c r="A44" s="658">
        <v>12</v>
      </c>
      <c r="B44" s="652" t="s">
        <v>1018</v>
      </c>
      <c r="C44" s="652" t="str">
        <f>"(Line "&amp;A33&amp;"*Line "&amp;A34&amp;")"</f>
        <v>(Line 5*Line 6)</v>
      </c>
      <c r="D44" s="652"/>
      <c r="E44" s="652"/>
      <c r="F44" s="652"/>
      <c r="G44" s="696">
        <f>G34*G33</f>
        <v>0.021195912499999997</v>
      </c>
      <c r="H44" s="696">
        <f>H34*H33</f>
        <v>0.012717547499999999</v>
      </c>
      <c r="I44" s="652"/>
      <c r="J44" s="652"/>
      <c r="K44" s="652"/>
      <c r="L44" s="652"/>
      <c r="M44" s="652"/>
      <c r="N44" s="652"/>
    </row>
    <row r="45" spans="1:14" ht="16.5">
      <c r="A45" s="658">
        <v>13</v>
      </c>
      <c r="B45" s="652" t="s">
        <v>1019</v>
      </c>
      <c r="C45" s="652" t="str">
        <f>"((Line "&amp;A33&amp;"-(Line "&amp;A35&amp;"-Line "&amp;A34&amp;"))-(Line "&amp;A34&amp;"*Line"&amp;A33&amp;"))"</f>
        <v>((Line 5-(Line 7-Line 6))-(Line 6*Line5))</v>
      </c>
      <c r="D45" s="652"/>
      <c r="E45" s="652"/>
      <c r="F45" s="652"/>
      <c r="G45" s="697">
        <f>(G33-(G35-G34))-(G34*G33)</f>
        <v>0.0014504635246620212</v>
      </c>
      <c r="H45" s="697">
        <f>(H33-(H35-H34))-(H34*H33)</f>
        <v>0.0010567186088837714</v>
      </c>
      <c r="I45" s="652"/>
      <c r="J45" s="652"/>
      <c r="K45" s="652"/>
      <c r="L45" s="652"/>
      <c r="M45" s="652"/>
      <c r="N45" s="652"/>
    </row>
    <row r="46" spans="1:9" ht="16.5">
      <c r="A46" s="652"/>
      <c r="B46" s="652"/>
      <c r="C46" s="652"/>
      <c r="D46" s="652"/>
      <c r="E46" s="652"/>
      <c r="F46" s="652"/>
      <c r="G46" s="652"/>
      <c r="H46" s="652"/>
      <c r="I46" s="652"/>
    </row>
    <row r="47" spans="1:9" ht="16.5">
      <c r="A47" s="652"/>
      <c r="B47" s="652"/>
      <c r="C47" s="652"/>
      <c r="D47" s="652"/>
      <c r="E47" s="652"/>
      <c r="F47" s="652"/>
      <c r="G47" s="698"/>
      <c r="H47" s="698"/>
      <c r="I47" s="652"/>
    </row>
    <row r="48" spans="1:9" ht="16.5">
      <c r="A48" s="685" t="s">
        <v>980</v>
      </c>
      <c r="B48" s="652"/>
      <c r="C48" s="652"/>
      <c r="D48" s="652"/>
      <c r="E48" s="652"/>
      <c r="F48" s="652"/>
      <c r="G48" s="652"/>
      <c r="H48" s="652"/>
      <c r="I48" s="652"/>
    </row>
    <row r="49" spans="1:9" ht="16.5">
      <c r="A49" s="652" t="s">
        <v>1020</v>
      </c>
      <c r="C49" s="652"/>
      <c r="D49" s="652"/>
      <c r="E49" s="652"/>
      <c r="F49" s="652"/>
      <c r="G49" s="698"/>
      <c r="H49" s="698"/>
      <c r="I49" s="652"/>
    </row>
    <row r="50" spans="1:4" ht="16.5">
      <c r="A50" s="652" t="s">
        <v>1021</v>
      </c>
      <c r="C50" s="652"/>
      <c r="D50" s="652"/>
    </row>
    <row r="51" spans="1:10" ht="16.5">
      <c r="A51" s="652" t="s">
        <v>197</v>
      </c>
      <c r="B51" s="699" t="s">
        <v>1022</v>
      </c>
      <c r="C51" s="655"/>
      <c r="D51" s="655"/>
      <c r="E51" s="655"/>
      <c r="F51" s="655"/>
      <c r="G51" s="655"/>
      <c r="H51" s="655"/>
      <c r="I51" s="655"/>
      <c r="J51" s="655"/>
    </row>
    <row r="52" spans="1:10" ht="64.15" customHeight="1">
      <c r="A52" s="700" t="s">
        <v>198</v>
      </c>
      <c r="B52" s="1080" t="s">
        <v>1023</v>
      </c>
      <c r="C52" s="1080"/>
      <c r="D52" s="1080"/>
      <c r="E52" s="1080"/>
      <c r="F52" s="1080"/>
      <c r="G52" s="1080"/>
      <c r="H52" s="1080"/>
      <c r="I52" s="1080"/>
      <c r="J52" s="1080"/>
    </row>
    <row r="53" spans="1:1" ht="16.5">
      <c r="A53" s="652"/>
    </row>
    <row r="54" spans="1:1" ht="16.5">
      <c r="A54" s="652"/>
    </row>
    <row r="55" spans="1:1" ht="16.5">
      <c r="A55" s="652"/>
    </row>
    <row r="56" spans="1:1" ht="16.5">
      <c r="A56" s="652"/>
    </row>
    <row r="57" spans="1:1" ht="16.5">
      <c r="A57" s="652"/>
    </row>
    <row r="58" spans="1:1" ht="16.5">
      <c r="A58" s="652"/>
    </row>
    <row r="59" spans="1:1" ht="16.5">
      <c r="A59" s="652"/>
    </row>
    <row r="60" spans="1:1" ht="16.5">
      <c r="A60" s="652"/>
    </row>
    <row r="61" spans="1:1" ht="16.5">
      <c r="A61" s="652"/>
    </row>
    <row r="62" spans="1:1" ht="16.5">
      <c r="A62" s="652"/>
    </row>
    <row r="63" spans="1:1" ht="16.5">
      <c r="A63" s="652"/>
    </row>
    <row r="64" spans="1:1" ht="16.5">
      <c r="A64" s="652"/>
    </row>
    <row r="65" spans="1:1" ht="16.5">
      <c r="A65" s="652"/>
    </row>
    <row r="66" spans="1:1" ht="16.5">
      <c r="A66" s="652"/>
    </row>
    <row r="67" spans="1:1" ht="16.5">
      <c r="A67" s="652"/>
    </row>
  </sheetData>
  <mergeCells count="1">
    <mergeCell ref="B52:J52"/>
  </mergeCells>
  <pageMargins left="0.7" right="0.7" top="0.75" bottom="0.75" header="0.3" footer="0.3"/>
  <pageSetup orientation="landscape" scale="54"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ED40-5C7D-4E34-BDA6-6444DA3F4DCF}">
  <dimension ref="A1:Q55"/>
  <sheetViews>
    <sheetView view="pageBreakPreview" zoomScaleNormal="100" zoomScaleSheetLayoutView="100" workbookViewId="0" topLeftCell="A1"/>
  </sheetViews>
  <sheetFormatPr defaultColWidth="11.4255555555556" defaultRowHeight="13.2"/>
  <cols>
    <col min="1" max="1" width="5.11111111111111" style="1" customWidth="1"/>
    <col min="2" max="2" width="15.4444444444444" style="1" bestFit="1" customWidth="1"/>
    <col min="3" max="3" width="11.4444444444444" style="1"/>
    <col min="4" max="15" width="10" style="1" customWidth="1"/>
    <col min="16" max="16" width="15.8888888888889" style="1" customWidth="1"/>
    <col min="17" max="17" width="13.6666666666667" style="1" bestFit="1" customWidth="1"/>
    <col min="18" max="16384" width="11.4444444444444" style="1"/>
  </cols>
  <sheetData>
    <row r="1" spans="9:17" ht="12.75">
      <c r="I1" s="6" t="s">
        <v>1024</v>
      </c>
      <c r="Q1" s="209" t="s">
        <v>240</v>
      </c>
    </row>
    <row r="2" spans="9:9" ht="12.75">
      <c r="I2" s="4" t="s">
        <v>1025</v>
      </c>
    </row>
    <row r="3" spans="9:9" ht="12.75">
      <c r="I3" s="37" t="str">
        <f>+'Attachment H'!D5</f>
        <v>GridLiance High Plains LLC</v>
      </c>
    </row>
    <row r="5" spans="1:8" ht="15.75">
      <c r="A5" s="701"/>
      <c r="B5" s="702"/>
      <c r="C5" s="703" t="s">
        <v>1026</v>
      </c>
      <c r="D5" s="703"/>
      <c r="E5" s="1081" t="s">
        <v>1027</v>
      </c>
      <c r="F5" s="1081"/>
      <c r="G5" s="704"/>
      <c r="H5" s="704"/>
    </row>
    <row r="6" spans="1:8" ht="15">
      <c r="A6" s="701">
        <v>1</v>
      </c>
      <c r="B6" s="704"/>
      <c r="C6" s="705" t="s">
        <v>1028</v>
      </c>
      <c r="D6" s="706"/>
      <c r="E6" s="707">
        <v>0</v>
      </c>
      <c r="F6" s="706"/>
      <c r="G6" s="706"/>
      <c r="H6" s="706"/>
    </row>
    <row r="7" spans="1:8" ht="15">
      <c r="A7" s="701">
        <v>2</v>
      </c>
      <c r="B7" s="704"/>
      <c r="C7" s="705" t="s">
        <v>1029</v>
      </c>
      <c r="D7" s="706"/>
      <c r="E7" s="707">
        <v>0</v>
      </c>
      <c r="F7" s="706"/>
      <c r="G7" s="706"/>
      <c r="H7" s="706"/>
    </row>
    <row r="8" spans="1:8" ht="15">
      <c r="A8" s="701">
        <v>3</v>
      </c>
      <c r="B8" s="704"/>
      <c r="C8" s="705" t="s">
        <v>1030</v>
      </c>
      <c r="D8" s="706"/>
      <c r="E8" s="707">
        <v>0</v>
      </c>
      <c r="F8" s="706"/>
      <c r="G8" s="706"/>
      <c r="H8" s="706"/>
    </row>
    <row r="9" spans="1:8" ht="15">
      <c r="A9" s="701">
        <v>4</v>
      </c>
      <c r="B9" s="704"/>
      <c r="C9" s="705" t="s">
        <v>1031</v>
      </c>
      <c r="D9" s="706"/>
      <c r="E9" s="707">
        <v>0</v>
      </c>
      <c r="F9" s="706"/>
      <c r="G9" s="706"/>
      <c r="H9" s="706"/>
    </row>
    <row r="10" spans="1:8" ht="15.75" customHeight="1">
      <c r="A10" s="701">
        <v>5</v>
      </c>
      <c r="B10" s="704"/>
      <c r="C10" s="705" t="s">
        <v>1032</v>
      </c>
      <c r="D10" s="706"/>
      <c r="E10" s="707">
        <v>0</v>
      </c>
      <c r="F10" s="706"/>
      <c r="G10" s="706"/>
      <c r="H10" s="706"/>
    </row>
    <row r="11" spans="1:8" ht="15">
      <c r="A11" s="701">
        <v>6</v>
      </c>
      <c r="B11" s="704"/>
      <c r="C11" s="705" t="s">
        <v>1029</v>
      </c>
      <c r="D11" s="706"/>
      <c r="E11" s="707">
        <v>0</v>
      </c>
      <c r="F11" s="706"/>
      <c r="G11" s="706"/>
      <c r="H11" s="706"/>
    </row>
    <row r="12" spans="1:8" ht="15">
      <c r="A12" s="701">
        <v>7</v>
      </c>
      <c r="B12" s="704"/>
      <c r="C12" s="705" t="s">
        <v>1030</v>
      </c>
      <c r="D12" s="706"/>
      <c r="E12" s="707">
        <v>0</v>
      </c>
      <c r="F12" s="706"/>
      <c r="G12" s="706"/>
      <c r="H12" s="706"/>
    </row>
    <row r="13" spans="1:8" ht="15">
      <c r="A13" s="701"/>
      <c r="B13" s="704"/>
      <c r="C13" s="704"/>
      <c r="D13" s="706"/>
      <c r="E13" s="708"/>
      <c r="F13" s="706"/>
      <c r="G13" s="706"/>
      <c r="H13" s="706"/>
    </row>
    <row r="14" spans="1:8" ht="15">
      <c r="A14" s="701"/>
      <c r="B14" s="704"/>
      <c r="C14" s="705"/>
      <c r="D14" s="706"/>
      <c r="E14" s="706"/>
      <c r="F14" s="706"/>
      <c r="G14" s="706"/>
      <c r="H14" s="706"/>
    </row>
    <row r="15" spans="1:8" ht="15">
      <c r="A15" s="701">
        <v>8</v>
      </c>
      <c r="B15" s="709" t="s">
        <v>1033</v>
      </c>
      <c r="C15" s="704"/>
      <c r="D15" s="706"/>
      <c r="E15" s="706">
        <f>AVERAGE(E6:E12)</f>
        <v>0</v>
      </c>
      <c r="F15" s="706"/>
      <c r="G15" s="706"/>
      <c r="H15" s="710">
        <f>+E15</f>
        <v>0</v>
      </c>
    </row>
    <row r="16" spans="1:8" ht="15">
      <c r="A16" s="704"/>
      <c r="B16" s="704"/>
      <c r="C16" s="704"/>
      <c r="D16" s="706"/>
      <c r="E16" s="706"/>
      <c r="F16" s="706"/>
      <c r="G16" s="706"/>
      <c r="H16" s="706"/>
    </row>
    <row r="17" spans="1:8" ht="15">
      <c r="A17" s="704" t="s">
        <v>1034</v>
      </c>
      <c r="B17" s="704"/>
      <c r="C17" s="704"/>
      <c r="D17" s="704"/>
      <c r="E17" s="704"/>
      <c r="F17" s="704"/>
      <c r="G17" s="704"/>
      <c r="H17" s="704"/>
    </row>
    <row r="18" spans="1:8" ht="15">
      <c r="A18" s="704" t="s">
        <v>1035</v>
      </c>
      <c r="B18" s="704"/>
      <c r="C18" s="704"/>
      <c r="D18" s="704"/>
      <c r="E18" s="704"/>
      <c r="F18" s="704"/>
      <c r="G18" s="704"/>
      <c r="H18" s="704"/>
    </row>
    <row r="19" spans="1:8" ht="15">
      <c r="A19" s="704" t="s">
        <v>1036</v>
      </c>
      <c r="B19" s="704"/>
      <c r="C19" s="704"/>
      <c r="D19" s="704"/>
      <c r="E19" s="704"/>
      <c r="F19" s="704"/>
      <c r="G19" s="704"/>
      <c r="H19" s="704"/>
    </row>
    <row r="20" spans="1:8" ht="15">
      <c r="A20" s="704"/>
      <c r="B20" s="704"/>
      <c r="C20" s="704"/>
      <c r="D20" s="704"/>
      <c r="E20" s="704"/>
      <c r="F20" s="704"/>
      <c r="G20" s="704"/>
      <c r="H20" s="704"/>
    </row>
    <row r="21" spans="1:8" ht="15">
      <c r="A21" s="704"/>
      <c r="B21" s="704"/>
      <c r="C21" s="704"/>
      <c r="D21" s="704"/>
      <c r="E21" s="704"/>
      <c r="F21" s="704"/>
      <c r="G21" s="704"/>
      <c r="H21" s="704"/>
    </row>
    <row r="22" spans="1:8" ht="12.75">
      <c r="A22" s="158"/>
      <c r="D22" s="1082"/>
      <c r="E22" s="1082"/>
      <c r="H22" s="4"/>
    </row>
    <row r="23" spans="1:12" ht="12.75">
      <c r="A23" s="158">
        <v>9</v>
      </c>
      <c r="B23" s="1" t="s">
        <v>806</v>
      </c>
      <c r="D23" s="1082"/>
      <c r="E23" s="1082"/>
      <c r="F23" s="1082"/>
      <c r="G23" s="1082"/>
      <c r="H23" s="4"/>
      <c r="I23" s="1082"/>
      <c r="J23" s="1082"/>
      <c r="K23" s="1082"/>
      <c r="L23" s="1082"/>
    </row>
    <row r="24" spans="1:6" ht="12.75">
      <c r="A24" s="158">
        <v>10</v>
      </c>
      <c r="B24" s="24"/>
      <c r="F24" s="711"/>
    </row>
    <row r="25" spans="1:17" ht="12.75">
      <c r="A25" s="176"/>
      <c r="B25" s="177" t="s">
        <v>236</v>
      </c>
      <c r="C25" s="177" t="s">
        <v>238</v>
      </c>
      <c r="D25" s="712" t="s">
        <v>251</v>
      </c>
      <c r="E25" s="713" t="s">
        <v>252</v>
      </c>
      <c r="F25" s="713" t="s">
        <v>253</v>
      </c>
      <c r="G25" s="713" t="s">
        <v>254</v>
      </c>
      <c r="H25" s="713" t="s">
        <v>255</v>
      </c>
      <c r="I25" s="713" t="s">
        <v>256</v>
      </c>
      <c r="J25" s="713" t="s">
        <v>257</v>
      </c>
      <c r="K25" s="713" t="s">
        <v>258</v>
      </c>
      <c r="L25" s="713" t="s">
        <v>560</v>
      </c>
      <c r="M25" s="713" t="s">
        <v>1037</v>
      </c>
      <c r="N25" s="713" t="s">
        <v>564</v>
      </c>
      <c r="O25" s="714" t="s">
        <v>625</v>
      </c>
      <c r="P25" s="180" t="s">
        <v>568</v>
      </c>
      <c r="Q25" s="715" t="s">
        <v>570</v>
      </c>
    </row>
    <row r="26" spans="1:17" ht="12.75">
      <c r="A26" s="158"/>
      <c r="B26" s="173"/>
      <c r="C26" s="165"/>
      <c r="D26" s="179"/>
      <c r="E26" s="4"/>
      <c r="F26" s="4"/>
      <c r="G26" s="176"/>
      <c r="H26" s="4"/>
      <c r="J26" s="4"/>
      <c r="O26" s="716"/>
      <c r="P26" s="164"/>
      <c r="Q26" s="173"/>
    </row>
    <row r="27" spans="1:17" ht="12.75">
      <c r="A27" s="158"/>
      <c r="B27" s="175"/>
      <c r="C27" s="178"/>
      <c r="D27" s="179"/>
      <c r="E27" s="4"/>
      <c r="F27" s="4"/>
      <c r="G27" s="4"/>
      <c r="H27" s="4"/>
      <c r="I27" s="4"/>
      <c r="J27" s="4"/>
      <c r="K27" s="4"/>
      <c r="L27" s="4"/>
      <c r="M27" s="4"/>
      <c r="N27" s="4"/>
      <c r="O27" s="717"/>
      <c r="P27" s="179"/>
      <c r="Q27" s="178"/>
    </row>
    <row r="28" spans="1:17" ht="12.75">
      <c r="A28" s="158"/>
      <c r="B28" s="178" t="s">
        <v>265</v>
      </c>
      <c r="C28" s="178"/>
      <c r="D28" s="1083" t="s">
        <v>1038</v>
      </c>
      <c r="E28" s="1082"/>
      <c r="F28" s="1082"/>
      <c r="G28" s="1082"/>
      <c r="H28" s="1082"/>
      <c r="I28" s="1082"/>
      <c r="J28" s="1082"/>
      <c r="K28" s="1082"/>
      <c r="L28" s="1082"/>
      <c r="M28" s="1082"/>
      <c r="N28" s="1082"/>
      <c r="O28" s="1084"/>
      <c r="P28" s="179" t="s">
        <v>264</v>
      </c>
      <c r="Q28" s="178" t="s">
        <v>264</v>
      </c>
    </row>
    <row r="29" spans="1:17" ht="12.75">
      <c r="A29" s="158"/>
      <c r="B29" s="169" t="s">
        <v>273</v>
      </c>
      <c r="C29" s="169" t="s">
        <v>274</v>
      </c>
      <c r="D29" s="204" t="s">
        <v>207</v>
      </c>
      <c r="E29" s="202" t="s">
        <v>208</v>
      </c>
      <c r="F29" s="718" t="s">
        <v>748</v>
      </c>
      <c r="G29" s="718" t="s">
        <v>210</v>
      </c>
      <c r="H29" s="202" t="s">
        <v>211</v>
      </c>
      <c r="I29" s="202" t="s">
        <v>212</v>
      </c>
      <c r="J29" s="202" t="s">
        <v>213</v>
      </c>
      <c r="K29" s="202" t="s">
        <v>750</v>
      </c>
      <c r="L29" s="202" t="s">
        <v>215</v>
      </c>
      <c r="M29" s="202" t="s">
        <v>216</v>
      </c>
      <c r="N29" s="202" t="s">
        <v>217</v>
      </c>
      <c r="O29" s="719" t="s">
        <v>751</v>
      </c>
      <c r="P29" s="204" t="s">
        <v>1039</v>
      </c>
      <c r="Q29" s="169" t="s">
        <v>298</v>
      </c>
    </row>
    <row r="30" spans="1:17" ht="12.75">
      <c r="A30" s="158">
        <v>11</v>
      </c>
      <c r="B30" s="175" t="s">
        <v>312</v>
      </c>
      <c r="C30" s="175"/>
      <c r="D30" s="720"/>
      <c r="E30" s="25"/>
      <c r="F30" s="25"/>
      <c r="G30" s="25"/>
      <c r="H30" s="25"/>
      <c r="I30" s="53"/>
      <c r="J30" s="53"/>
      <c r="K30" s="53"/>
      <c r="L30" s="53"/>
      <c r="O30" s="716"/>
      <c r="P30" s="354"/>
      <c r="Q30" s="175"/>
    </row>
    <row r="31" spans="1:17" ht="12.75">
      <c r="A31" s="158" t="s">
        <v>1040</v>
      </c>
      <c r="B31" s="182"/>
      <c r="C31" s="182"/>
      <c r="D31" s="189"/>
      <c r="E31" s="26"/>
      <c r="F31" s="26"/>
      <c r="G31" s="26"/>
      <c r="H31" s="26"/>
      <c r="I31" s="26"/>
      <c r="J31" s="26"/>
      <c r="K31" s="468"/>
      <c r="L31" s="468"/>
      <c r="M31" s="24"/>
      <c r="N31" s="24"/>
      <c r="O31" s="721"/>
      <c r="P31" s="720">
        <f>+H15</f>
        <v>0</v>
      </c>
      <c r="Q31" s="722">
        <f>+P31*(D31+E31*0.91667+F31*0.83333+G31*0.75+H31*0.66667+I31*7/12+J31*6/12+K31*5/12+L31*4/12+M31*3/12+N31*2/12+O31*1/12)+P31*1.5*SUM(D31:O31)</f>
        <v>0</v>
      </c>
    </row>
    <row r="32" spans="1:17" ht="12.75">
      <c r="A32" s="158" t="s">
        <v>1041</v>
      </c>
      <c r="B32" s="182"/>
      <c r="C32" s="182"/>
      <c r="D32" s="189"/>
      <c r="E32" s="26"/>
      <c r="F32" s="26"/>
      <c r="G32" s="26"/>
      <c r="H32" s="26"/>
      <c r="I32" s="26"/>
      <c r="J32" s="26"/>
      <c r="K32" s="468"/>
      <c r="L32" s="468"/>
      <c r="M32" s="24"/>
      <c r="N32" s="24"/>
      <c r="O32" s="721"/>
      <c r="P32" s="720">
        <f>+P31</f>
        <v>0</v>
      </c>
      <c r="Q32" s="722">
        <f t="shared" si="0" ref="Q32:Q49">+P32*(D32+E32*0.91667+F32*0.83333+G32*0.75+H32*0.66667+I32*7/12+J32*6/12+K32*5/12+L32*4/12+M32*3/12+N32*2/12+O32*1/12)+P32*1.5*SUM(D32:O32)</f>
        <v>0</v>
      </c>
    </row>
    <row r="33" spans="1:17" ht="12.75">
      <c r="A33" s="158" t="s">
        <v>1042</v>
      </c>
      <c r="B33" s="182"/>
      <c r="C33" s="182"/>
      <c r="D33" s="189"/>
      <c r="E33" s="26"/>
      <c r="F33" s="26"/>
      <c r="G33" s="26"/>
      <c r="H33" s="26"/>
      <c r="I33" s="26"/>
      <c r="J33" s="26"/>
      <c r="K33" s="468"/>
      <c r="L33" s="468"/>
      <c r="M33" s="24"/>
      <c r="N33" s="24"/>
      <c r="O33" s="721"/>
      <c r="P33" s="720">
        <f t="shared" si="1" ref="P33:P49">+P32</f>
        <v>0</v>
      </c>
      <c r="Q33" s="722">
        <f t="shared" si="0"/>
        <v>0</v>
      </c>
    </row>
    <row r="34" spans="1:17" ht="12.75">
      <c r="A34" s="158" t="s">
        <v>18</v>
      </c>
      <c r="B34" s="182"/>
      <c r="C34" s="182"/>
      <c r="D34" s="189"/>
      <c r="E34" s="26"/>
      <c r="F34" s="26"/>
      <c r="G34" s="26"/>
      <c r="H34" s="26"/>
      <c r="I34" s="26"/>
      <c r="J34" s="26"/>
      <c r="K34" s="468"/>
      <c r="L34" s="468"/>
      <c r="M34" s="24"/>
      <c r="N34" s="24"/>
      <c r="O34" s="721"/>
      <c r="P34" s="720">
        <f t="shared" si="1"/>
        <v>0</v>
      </c>
      <c r="Q34" s="722">
        <f t="shared" si="0"/>
        <v>0</v>
      </c>
    </row>
    <row r="35" spans="1:17" ht="12.75">
      <c r="A35" s="158"/>
      <c r="B35" s="182"/>
      <c r="C35" s="182"/>
      <c r="D35" s="189"/>
      <c r="E35" s="26"/>
      <c r="F35" s="26"/>
      <c r="G35" s="26"/>
      <c r="H35" s="26"/>
      <c r="I35" s="26"/>
      <c r="J35" s="26"/>
      <c r="K35" s="468"/>
      <c r="L35" s="468"/>
      <c r="M35" s="24"/>
      <c r="N35" s="24"/>
      <c r="O35" s="721"/>
      <c r="P35" s="720">
        <f t="shared" si="1"/>
        <v>0</v>
      </c>
      <c r="Q35" s="722">
        <f t="shared" si="0"/>
        <v>0</v>
      </c>
    </row>
    <row r="36" spans="1:17" ht="12.75">
      <c r="A36" s="158"/>
      <c r="B36" s="182"/>
      <c r="C36" s="182"/>
      <c r="D36" s="189"/>
      <c r="E36" s="26"/>
      <c r="F36" s="26"/>
      <c r="G36" s="26"/>
      <c r="H36" s="26"/>
      <c r="I36" s="26"/>
      <c r="J36" s="26"/>
      <c r="K36" s="468"/>
      <c r="L36" s="468"/>
      <c r="M36" s="24"/>
      <c r="N36" s="24"/>
      <c r="O36" s="721"/>
      <c r="P36" s="720">
        <f t="shared" si="1"/>
        <v>0</v>
      </c>
      <c r="Q36" s="722">
        <f t="shared" si="0"/>
        <v>0</v>
      </c>
    </row>
    <row r="37" spans="1:17" ht="12.75">
      <c r="A37" s="158"/>
      <c r="B37" s="182"/>
      <c r="C37" s="182"/>
      <c r="D37" s="189"/>
      <c r="E37" s="26"/>
      <c r="F37" s="26"/>
      <c r="G37" s="26"/>
      <c r="H37" s="26"/>
      <c r="I37" s="26"/>
      <c r="J37" s="26"/>
      <c r="K37" s="468"/>
      <c r="L37" s="468"/>
      <c r="M37" s="24"/>
      <c r="N37" s="24"/>
      <c r="O37" s="721"/>
      <c r="P37" s="720">
        <f t="shared" si="1"/>
        <v>0</v>
      </c>
      <c r="Q37" s="722">
        <f t="shared" si="0"/>
        <v>0</v>
      </c>
    </row>
    <row r="38" spans="1:17" ht="12.75">
      <c r="A38" s="158"/>
      <c r="B38" s="182"/>
      <c r="C38" s="182"/>
      <c r="D38" s="189"/>
      <c r="E38" s="26"/>
      <c r="F38" s="26"/>
      <c r="G38" s="26"/>
      <c r="H38" s="26"/>
      <c r="I38" s="26"/>
      <c r="J38" s="26"/>
      <c r="K38" s="468"/>
      <c r="L38" s="468"/>
      <c r="M38" s="24"/>
      <c r="N38" s="24"/>
      <c r="O38" s="721"/>
      <c r="P38" s="720">
        <f t="shared" si="1"/>
        <v>0</v>
      </c>
      <c r="Q38" s="722">
        <f t="shared" si="0"/>
        <v>0</v>
      </c>
    </row>
    <row r="39" spans="1:17" ht="12.75">
      <c r="A39" s="158"/>
      <c r="B39" s="182"/>
      <c r="C39" s="182"/>
      <c r="D39" s="189"/>
      <c r="E39" s="26"/>
      <c r="F39" s="26"/>
      <c r="G39" s="26"/>
      <c r="H39" s="26"/>
      <c r="I39" s="26"/>
      <c r="J39" s="26"/>
      <c r="K39" s="468"/>
      <c r="L39" s="468"/>
      <c r="M39" s="24"/>
      <c r="N39" s="24"/>
      <c r="O39" s="721"/>
      <c r="P39" s="720">
        <f t="shared" si="1"/>
        <v>0</v>
      </c>
      <c r="Q39" s="722">
        <f t="shared" si="0"/>
        <v>0</v>
      </c>
    </row>
    <row r="40" spans="1:17" ht="12.75">
      <c r="A40" s="158"/>
      <c r="B40" s="182"/>
      <c r="C40" s="182"/>
      <c r="D40" s="189"/>
      <c r="E40" s="26"/>
      <c r="F40" s="26"/>
      <c r="G40" s="26"/>
      <c r="H40" s="26"/>
      <c r="I40" s="26"/>
      <c r="J40" s="26"/>
      <c r="K40" s="468"/>
      <c r="L40" s="468"/>
      <c r="M40" s="24"/>
      <c r="N40" s="24"/>
      <c r="O40" s="721"/>
      <c r="P40" s="720">
        <f t="shared" si="1"/>
        <v>0</v>
      </c>
      <c r="Q40" s="722">
        <f t="shared" si="0"/>
        <v>0</v>
      </c>
    </row>
    <row r="41" spans="1:17" ht="12.75">
      <c r="A41" s="158"/>
      <c r="B41" s="182"/>
      <c r="C41" s="182"/>
      <c r="D41" s="189"/>
      <c r="E41" s="26"/>
      <c r="F41" s="26"/>
      <c r="G41" s="26"/>
      <c r="H41" s="26"/>
      <c r="I41" s="26"/>
      <c r="J41" s="26"/>
      <c r="K41" s="468"/>
      <c r="L41" s="468"/>
      <c r="M41" s="24"/>
      <c r="N41" s="24"/>
      <c r="O41" s="721"/>
      <c r="P41" s="720">
        <f t="shared" si="1"/>
        <v>0</v>
      </c>
      <c r="Q41" s="722">
        <f t="shared" si="0"/>
        <v>0</v>
      </c>
    </row>
    <row r="42" spans="1:17" ht="12.75">
      <c r="A42" s="158"/>
      <c r="B42" s="182"/>
      <c r="C42" s="182"/>
      <c r="D42" s="189"/>
      <c r="E42" s="26"/>
      <c r="F42" s="26"/>
      <c r="G42" s="26"/>
      <c r="H42" s="26"/>
      <c r="I42" s="26"/>
      <c r="J42" s="26"/>
      <c r="K42" s="468"/>
      <c r="L42" s="468"/>
      <c r="M42" s="24"/>
      <c r="N42" s="24"/>
      <c r="O42" s="721"/>
      <c r="P42" s="720">
        <f t="shared" si="1"/>
        <v>0</v>
      </c>
      <c r="Q42" s="722">
        <f t="shared" si="0"/>
        <v>0</v>
      </c>
    </row>
    <row r="43" spans="1:17" ht="12.75">
      <c r="A43" s="158"/>
      <c r="B43" s="182"/>
      <c r="C43" s="182"/>
      <c r="D43" s="189"/>
      <c r="E43" s="26"/>
      <c r="F43" s="26"/>
      <c r="G43" s="26"/>
      <c r="H43" s="26"/>
      <c r="I43" s="26"/>
      <c r="J43" s="26"/>
      <c r="K43" s="468"/>
      <c r="L43" s="468"/>
      <c r="M43" s="24"/>
      <c r="N43" s="24"/>
      <c r="O43" s="721"/>
      <c r="P43" s="720">
        <f t="shared" si="1"/>
        <v>0</v>
      </c>
      <c r="Q43" s="722">
        <f t="shared" si="0"/>
        <v>0</v>
      </c>
    </row>
    <row r="44" spans="1:17" ht="12.75">
      <c r="A44" s="158"/>
      <c r="B44" s="182"/>
      <c r="C44" s="182"/>
      <c r="D44" s="189"/>
      <c r="E44" s="26"/>
      <c r="F44" s="26"/>
      <c r="G44" s="26"/>
      <c r="H44" s="26"/>
      <c r="I44" s="26"/>
      <c r="J44" s="26"/>
      <c r="K44" s="468"/>
      <c r="L44" s="468"/>
      <c r="M44" s="24"/>
      <c r="N44" s="24"/>
      <c r="O44" s="721"/>
      <c r="P44" s="720">
        <f t="shared" si="1"/>
        <v>0</v>
      </c>
      <c r="Q44" s="722">
        <f t="shared" si="0"/>
        <v>0</v>
      </c>
    </row>
    <row r="45" spans="1:17" ht="12.75">
      <c r="A45" s="158"/>
      <c r="B45" s="182"/>
      <c r="C45" s="182"/>
      <c r="D45" s="189"/>
      <c r="E45" s="26"/>
      <c r="F45" s="26"/>
      <c r="G45" s="26"/>
      <c r="H45" s="26"/>
      <c r="I45" s="26"/>
      <c r="J45" s="26"/>
      <c r="K45" s="468"/>
      <c r="L45" s="468"/>
      <c r="M45" s="24"/>
      <c r="N45" s="24"/>
      <c r="O45" s="721"/>
      <c r="P45" s="720">
        <f t="shared" si="1"/>
        <v>0</v>
      </c>
      <c r="Q45" s="722">
        <f t="shared" si="0"/>
        <v>0</v>
      </c>
    </row>
    <row r="46" spans="1:17" ht="12.75">
      <c r="A46" s="158"/>
      <c r="B46" s="182"/>
      <c r="C46" s="182"/>
      <c r="D46" s="189"/>
      <c r="E46" s="26"/>
      <c r="F46" s="26"/>
      <c r="G46" s="26"/>
      <c r="H46" s="26"/>
      <c r="I46" s="26"/>
      <c r="J46" s="26"/>
      <c r="K46" s="468"/>
      <c r="L46" s="468"/>
      <c r="M46" s="24"/>
      <c r="N46" s="24"/>
      <c r="O46" s="721"/>
      <c r="P46" s="720">
        <f t="shared" si="1"/>
        <v>0</v>
      </c>
      <c r="Q46" s="722">
        <f t="shared" si="0"/>
        <v>0</v>
      </c>
    </row>
    <row r="47" spans="1:17" ht="12.75">
      <c r="A47" s="158"/>
      <c r="B47" s="182"/>
      <c r="C47" s="182"/>
      <c r="D47" s="189"/>
      <c r="E47" s="26"/>
      <c r="F47" s="26"/>
      <c r="G47" s="26"/>
      <c r="H47" s="26"/>
      <c r="I47" s="26"/>
      <c r="J47" s="26"/>
      <c r="K47" s="468"/>
      <c r="L47" s="468"/>
      <c r="M47" s="24"/>
      <c r="N47" s="24"/>
      <c r="O47" s="721"/>
      <c r="P47" s="720">
        <f t="shared" si="1"/>
        <v>0</v>
      </c>
      <c r="Q47" s="722">
        <f t="shared" si="0"/>
        <v>0</v>
      </c>
    </row>
    <row r="48" spans="1:17" ht="12.75">
      <c r="A48" s="158"/>
      <c r="B48" s="182"/>
      <c r="C48" s="182"/>
      <c r="D48" s="189"/>
      <c r="E48" s="26"/>
      <c r="F48" s="26"/>
      <c r="G48" s="26"/>
      <c r="H48" s="26"/>
      <c r="I48" s="26"/>
      <c r="J48" s="26"/>
      <c r="K48" s="468"/>
      <c r="L48" s="468"/>
      <c r="M48" s="24"/>
      <c r="N48" s="24"/>
      <c r="O48" s="721"/>
      <c r="P48" s="720">
        <f t="shared" si="1"/>
        <v>0</v>
      </c>
      <c r="Q48" s="722">
        <f t="shared" si="0"/>
        <v>0</v>
      </c>
    </row>
    <row r="49" spans="1:17" ht="12.75">
      <c r="A49" s="158"/>
      <c r="B49" s="182"/>
      <c r="C49" s="182"/>
      <c r="D49" s="189"/>
      <c r="E49" s="26"/>
      <c r="F49" s="26"/>
      <c r="G49" s="26"/>
      <c r="H49" s="26"/>
      <c r="I49" s="26"/>
      <c r="J49" s="26"/>
      <c r="K49" s="468"/>
      <c r="L49" s="468"/>
      <c r="M49" s="24"/>
      <c r="N49" s="24"/>
      <c r="O49" s="721"/>
      <c r="P49" s="720">
        <f t="shared" si="1"/>
        <v>0</v>
      </c>
      <c r="Q49" s="722">
        <f t="shared" si="0"/>
        <v>0</v>
      </c>
    </row>
    <row r="50" spans="1:17" ht="12.75">
      <c r="A50" s="158"/>
      <c r="B50" s="194"/>
      <c r="C50" s="194"/>
      <c r="D50" s="195"/>
      <c r="E50" s="723"/>
      <c r="F50" s="170"/>
      <c r="G50" s="723"/>
      <c r="H50" s="724"/>
      <c r="I50" s="170"/>
      <c r="J50" s="170"/>
      <c r="K50" s="170"/>
      <c r="L50" s="170"/>
      <c r="M50" s="170"/>
      <c r="N50" s="170"/>
      <c r="O50" s="171"/>
      <c r="P50" s="725"/>
      <c r="Q50" s="194"/>
    </row>
    <row r="51" spans="1:12" ht="12.75">
      <c r="A51" s="158"/>
      <c r="D51" s="25"/>
      <c r="E51" s="25"/>
      <c r="F51" s="25"/>
      <c r="G51" s="25"/>
      <c r="H51" s="25"/>
      <c r="I51" s="25"/>
      <c r="J51" s="25"/>
      <c r="K51" s="25"/>
      <c r="L51" s="25"/>
    </row>
    <row r="52" spans="1:12" ht="12.75">
      <c r="A52" s="158"/>
      <c r="B52" s="1" t="s">
        <v>300</v>
      </c>
      <c r="D52" s="25"/>
      <c r="E52" s="25"/>
      <c r="F52" s="25"/>
      <c r="G52" s="25"/>
      <c r="H52" s="25"/>
      <c r="I52" s="25"/>
      <c r="J52" s="25"/>
      <c r="K52" s="25"/>
      <c r="L52" s="25"/>
    </row>
    <row r="53" spans="1:12" ht="12.75">
      <c r="A53" s="158"/>
      <c r="B53" s="1" t="s">
        <v>1043</v>
      </c>
      <c r="D53" s="25"/>
      <c r="E53" s="25"/>
      <c r="F53" s="25"/>
      <c r="G53" s="25"/>
      <c r="H53" s="25"/>
      <c r="I53" s="25"/>
      <c r="J53" s="25"/>
      <c r="K53" s="25"/>
      <c r="L53" s="25"/>
    </row>
    <row r="54" spans="1:12" ht="12.75">
      <c r="A54" s="158"/>
      <c r="B54" s="1" t="s">
        <v>1044</v>
      </c>
      <c r="D54" s="25"/>
      <c r="E54" s="25"/>
      <c r="F54" s="25"/>
      <c r="G54" s="25"/>
      <c r="H54" s="25"/>
      <c r="I54" s="25"/>
      <c r="J54" s="25"/>
      <c r="K54" s="25"/>
      <c r="L54" s="25"/>
    </row>
    <row r="55" spans="2:2" ht="12.75">
      <c r="B55" s="1" t="s">
        <v>1045</v>
      </c>
    </row>
    <row r="68" ht="24" customHeight="1"/>
  </sheetData>
  <mergeCells count="6">
    <mergeCell ref="D28:O28"/>
    <mergeCell ref="E5:F5"/>
    <mergeCell ref="D22:E22"/>
    <mergeCell ref="D23:E23"/>
    <mergeCell ref="F23:G23"/>
    <mergeCell ref="I23:L23"/>
  </mergeCells>
  <pageMargins left="0.25" right="0.25" top="0.75" bottom="0.75" header="0.3" footer="0.3"/>
  <pageSetup orientation="landscape" scale="49"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7711-34E4-47F9-B8AC-AECB9593D2DA}">
  <sheetPr>
    <pageSetUpPr fitToPage="1"/>
  </sheetPr>
  <dimension ref="A1:Q21"/>
  <sheetViews>
    <sheetView view="pageBreakPreview" zoomScale="75" zoomScaleNormal="100" zoomScaleSheetLayoutView="75" workbookViewId="0" topLeftCell="A1"/>
  </sheetViews>
  <sheetFormatPr defaultRowHeight="15"/>
  <cols>
    <col min="1" max="1" width="9.11111111111111" style="2"/>
    <col min="2" max="2" width="56.3333333333333" style="2" customWidth="1"/>
    <col min="3" max="3" width="20" style="2" customWidth="1"/>
    <col min="4" max="4" width="21" style="2" customWidth="1"/>
    <col min="5" max="6" width="15.5555555555556" style="2" customWidth="1"/>
    <col min="7" max="8" width="15.3333333333333" style="2" bestFit="1" customWidth="1"/>
    <col min="9" max="16384" width="9.11111111111111" style="2"/>
  </cols>
  <sheetData>
    <row r="1" spans="1:9" ht="15.75">
      <c r="A1" s="703"/>
      <c r="C1" s="726" t="s">
        <v>1046</v>
      </c>
      <c r="I1" s="727" t="s">
        <v>240</v>
      </c>
    </row>
    <row r="2" spans="3:3" ht="15">
      <c r="C2" s="728" t="s">
        <v>1047</v>
      </c>
    </row>
    <row r="3" spans="3:8" ht="15.75">
      <c r="C3" s="726" t="str">
        <f>+'Attachment H'!D5</f>
        <v>GridLiance High Plains LLC</v>
      </c>
      <c r="G3" s="729"/>
      <c r="H3" s="729"/>
    </row>
    <row r="4" spans="3:8" ht="15.75">
      <c r="C4" s="730"/>
      <c r="G4" s="729"/>
      <c r="H4" s="729"/>
    </row>
    <row r="5" spans="1:8" ht="15.75">
      <c r="A5" s="731"/>
      <c r="B5" s="732" t="s">
        <v>1048</v>
      </c>
      <c r="C5" s="733"/>
      <c r="D5" s="734"/>
      <c r="E5" s="734"/>
      <c r="F5" s="734"/>
      <c r="G5" s="735"/>
      <c r="H5" s="735"/>
    </row>
    <row r="6" spans="1:9" ht="15">
      <c r="A6" s="731"/>
      <c r="B6" s="736" t="s">
        <v>197</v>
      </c>
      <c r="C6" s="733"/>
      <c r="D6" s="736" t="s">
        <v>198</v>
      </c>
      <c r="E6" s="736" t="s">
        <v>199</v>
      </c>
      <c r="F6" s="736" t="s">
        <v>200</v>
      </c>
      <c r="G6" s="736" t="s">
        <v>201</v>
      </c>
      <c r="H6" s="736" t="s">
        <v>221</v>
      </c>
      <c r="I6" s="736" t="s">
        <v>222</v>
      </c>
    </row>
    <row r="7" spans="1:8" ht="15">
      <c r="A7" s="731"/>
      <c r="B7" s="733"/>
      <c r="C7" s="733"/>
      <c r="D7" s="737"/>
      <c r="E7" s="737"/>
      <c r="F7" s="737"/>
      <c r="G7" s="737"/>
      <c r="H7" s="737"/>
    </row>
    <row r="8" spans="1:9" ht="15">
      <c r="A8" s="143">
        <v>1</v>
      </c>
      <c r="B8" s="1"/>
      <c r="C8" s="738"/>
      <c r="D8" s="739" t="s">
        <v>1049</v>
      </c>
      <c r="E8" s="740" t="s">
        <v>1050</v>
      </c>
      <c r="F8" s="740" t="s">
        <v>1050</v>
      </c>
      <c r="G8" s="740" t="s">
        <v>1050</v>
      </c>
      <c r="H8" s="740" t="s">
        <v>1050</v>
      </c>
      <c r="I8" s="741" t="s">
        <v>20</v>
      </c>
    </row>
    <row r="9" spans="1:9" ht="15">
      <c r="A9" s="143">
        <v>2</v>
      </c>
      <c r="B9" s="742" t="s">
        <v>1051</v>
      </c>
      <c r="C9" s="742"/>
      <c r="D9" s="25">
        <v>0</v>
      </c>
      <c r="E9" s="25">
        <v>0</v>
      </c>
      <c r="F9" s="25">
        <v>0</v>
      </c>
      <c r="G9" s="25">
        <v>0</v>
      </c>
      <c r="H9" s="25">
        <v>0</v>
      </c>
      <c r="I9" s="25"/>
    </row>
    <row r="10" spans="1:9" ht="15">
      <c r="A10" s="143">
        <v>3</v>
      </c>
      <c r="B10" s="742" t="s">
        <v>1052</v>
      </c>
      <c r="C10" s="742"/>
      <c r="D10" s="25">
        <v>0</v>
      </c>
      <c r="E10" s="25">
        <v>0</v>
      </c>
      <c r="F10" s="25">
        <v>0</v>
      </c>
      <c r="G10" s="25">
        <v>0</v>
      </c>
      <c r="H10" s="25">
        <v>0</v>
      </c>
      <c r="I10" s="25"/>
    </row>
    <row r="11" spans="1:9" ht="15">
      <c r="A11" s="143">
        <v>4</v>
      </c>
      <c r="B11" s="742" t="s">
        <v>1053</v>
      </c>
      <c r="C11" s="742"/>
      <c r="D11" s="25">
        <v>0</v>
      </c>
      <c r="E11" s="25">
        <v>0</v>
      </c>
      <c r="F11" s="25">
        <v>0</v>
      </c>
      <c r="G11" s="25">
        <v>0</v>
      </c>
      <c r="H11" s="25">
        <v>0</v>
      </c>
      <c r="I11" s="25"/>
    </row>
    <row r="12" spans="1:9" ht="15">
      <c r="A12" s="143">
        <v>5</v>
      </c>
      <c r="B12" s="742" t="s">
        <v>1054</v>
      </c>
      <c r="C12" s="742"/>
      <c r="D12" s="743">
        <v>0</v>
      </c>
      <c r="E12" s="743">
        <v>0</v>
      </c>
      <c r="F12" s="743">
        <v>0</v>
      </c>
      <c r="G12" s="743">
        <v>0</v>
      </c>
      <c r="H12" s="743">
        <v>0</v>
      </c>
      <c r="I12" s="25"/>
    </row>
    <row r="13" spans="1:9" ht="15">
      <c r="A13" s="143">
        <v>6</v>
      </c>
      <c r="B13" s="742" t="s">
        <v>1055</v>
      </c>
      <c r="C13" s="742"/>
      <c r="D13" s="25">
        <f>D11*D12</f>
        <v>0</v>
      </c>
      <c r="E13" s="25">
        <f>E11*E12</f>
        <v>0</v>
      </c>
      <c r="F13" s="25">
        <f>F11*F12</f>
        <v>0</v>
      </c>
      <c r="G13" s="25">
        <f>G11*G12</f>
        <v>0</v>
      </c>
      <c r="H13" s="25">
        <f>H11*H12</f>
        <v>0</v>
      </c>
      <c r="I13" s="25">
        <f>SUM(D13:H13)</f>
        <v>0</v>
      </c>
    </row>
    <row r="14" spans="1:9" ht="15">
      <c r="A14" s="143">
        <v>7</v>
      </c>
      <c r="B14" s="742" t="s">
        <v>1056</v>
      </c>
      <c r="C14" s="742"/>
      <c r="D14" s="25"/>
      <c r="E14" s="25"/>
      <c r="F14" s="25"/>
      <c r="G14" s="25"/>
      <c r="H14" s="25"/>
      <c r="I14" s="25"/>
    </row>
    <row r="15" spans="1:9" ht="15">
      <c r="A15" s="1"/>
      <c r="B15" s="1"/>
      <c r="C15" s="1"/>
      <c r="D15" s="1"/>
      <c r="E15" s="1"/>
      <c r="F15" s="1"/>
      <c r="G15" s="1"/>
      <c r="H15" s="1"/>
      <c r="I15" s="1"/>
    </row>
    <row r="16" spans="1:9" ht="25.5">
      <c r="A16" s="143">
        <v>8</v>
      </c>
      <c r="B16" s="744" t="s">
        <v>1057</v>
      </c>
      <c r="C16" s="1"/>
      <c r="D16" s="259"/>
      <c r="E16" s="259"/>
      <c r="F16" s="259"/>
      <c r="G16" s="259"/>
      <c r="H16" s="259"/>
      <c r="I16" s="5">
        <f>SUM(D16:H16)</f>
        <v>0</v>
      </c>
    </row>
    <row r="18" spans="1:17" ht="15">
      <c r="A18" s="745" t="s">
        <v>381</v>
      </c>
      <c r="B18" s="745"/>
      <c r="C18" s="1"/>
      <c r="D18" s="1"/>
      <c r="E18" s="1"/>
      <c r="F18" s="1"/>
      <c r="G18" s="1"/>
      <c r="H18" s="1"/>
      <c r="I18" s="1"/>
      <c r="J18" s="1"/>
      <c r="K18" s="1"/>
      <c r="L18" s="1"/>
      <c r="M18" s="1"/>
      <c r="N18" s="1"/>
      <c r="O18" s="1"/>
      <c r="P18" s="1"/>
      <c r="Q18" s="1"/>
    </row>
    <row r="19" spans="1:17" ht="15.75" thickBot="1">
      <c r="A19" s="746" t="s">
        <v>382</v>
      </c>
      <c r="B19" s="745"/>
      <c r="C19" s="1"/>
      <c r="D19" s="1"/>
      <c r="E19" s="1"/>
      <c r="F19" s="1"/>
      <c r="G19" s="1"/>
      <c r="H19" s="1"/>
      <c r="I19" s="1"/>
      <c r="J19" s="1"/>
      <c r="K19" s="1"/>
      <c r="L19" s="1"/>
      <c r="M19" s="1"/>
      <c r="N19" s="1"/>
      <c r="O19" s="1"/>
      <c r="P19" s="1"/>
      <c r="Q19" s="1"/>
    </row>
    <row r="20" spans="1:17" ht="33.6" customHeight="1">
      <c r="A20" s="747" t="s">
        <v>236</v>
      </c>
      <c r="B20" s="1085" t="s">
        <v>1058</v>
      </c>
      <c r="C20" s="1085"/>
      <c r="D20" s="1085"/>
      <c r="E20" s="1085"/>
      <c r="F20" s="1085"/>
      <c r="G20" s="1085"/>
      <c r="H20" s="1085"/>
      <c r="I20" s="1085"/>
      <c r="J20" s="325"/>
      <c r="K20" s="325"/>
      <c r="L20" s="325"/>
      <c r="M20" s="325"/>
      <c r="N20" s="325"/>
      <c r="O20" s="325"/>
      <c r="P20" s="325"/>
      <c r="Q20" s="325"/>
    </row>
    <row r="21" spans="1:2" ht="15">
      <c r="A21" s="748"/>
      <c r="B21" s="745"/>
    </row>
    <row r="68" ht="24" customHeight="1"/>
  </sheetData>
  <mergeCells count="1">
    <mergeCell ref="B20:I20"/>
  </mergeCells>
  <pageMargins left="0.7" right="0.7" top="0.75" bottom="0.75" header="0.3" footer="0.3"/>
  <pageSetup orientation="landscape" scale="69"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C289D-50AA-46C7-BA1B-2C86F333E3C5}">
  <sheetPr>
    <pageSetUpPr fitToPage="1"/>
  </sheetPr>
  <dimension ref="A1:L127"/>
  <sheetViews>
    <sheetView view="pageBreakPreview" zoomScale="70" zoomScaleNormal="100" zoomScaleSheetLayoutView="70" workbookViewId="0" topLeftCell="A1"/>
  </sheetViews>
  <sheetFormatPr defaultColWidth="11.4255555555556" defaultRowHeight="13.2"/>
  <cols>
    <col min="1" max="1" width="7" style="749" customWidth="1"/>
    <col min="2" max="2" width="27.5555555555556" style="142" customWidth="1"/>
    <col min="3" max="3" width="15.5555555555556" style="142" bestFit="1" customWidth="1"/>
    <col min="4" max="4" width="15.5555555555556" style="142" customWidth="1"/>
    <col min="5" max="5" width="14.1111111111111" style="142" customWidth="1"/>
    <col min="6" max="6" width="17.3333333333333" style="142" customWidth="1"/>
    <col min="7" max="7" width="18.1111111111111" style="142" customWidth="1"/>
    <col min="8" max="8" width="15.8888888888889" style="142" customWidth="1"/>
    <col min="9" max="9" width="18.1111111111111" style="142" customWidth="1"/>
    <col min="10" max="10" width="31.3333333333333" style="142" customWidth="1"/>
    <col min="11" max="11" width="9.33333333333333" style="142" customWidth="1"/>
    <col min="12" max="12" width="15.6666666666667" style="142" customWidth="1"/>
    <col min="13" max="13" width="10.4444444444444" style="142" customWidth="1"/>
    <col min="14" max="14" width="9.88888888888889" style="142" bestFit="1" customWidth="1"/>
    <col min="15" max="15" width="15" style="142" bestFit="1" customWidth="1"/>
    <col min="16" max="16" width="14" style="142" bestFit="1" customWidth="1"/>
    <col min="17" max="16384" width="11.4444444444444" style="142"/>
  </cols>
  <sheetData>
    <row r="1" spans="10:10" ht="12.75">
      <c r="J1" s="750" t="s">
        <v>240</v>
      </c>
    </row>
    <row r="2" spans="1:10" ht="15" customHeight="1">
      <c r="A2" s="1086" t="s">
        <v>1059</v>
      </c>
      <c r="B2" s="1086"/>
      <c r="C2" s="1086"/>
      <c r="D2" s="1086"/>
      <c r="E2" s="1086"/>
      <c r="F2" s="1086"/>
      <c r="G2" s="1086"/>
      <c r="H2" s="1086"/>
      <c r="I2" s="1086"/>
      <c r="J2" s="1086"/>
    </row>
    <row r="3" spans="1:10" ht="12.75">
      <c r="A3" s="1086" t="s">
        <v>1060</v>
      </c>
      <c r="B3" s="1086"/>
      <c r="C3" s="1086"/>
      <c r="D3" s="1086"/>
      <c r="E3" s="1086"/>
      <c r="F3" s="1086"/>
      <c r="G3" s="1086"/>
      <c r="H3" s="1086"/>
      <c r="I3" s="1086"/>
      <c r="J3" s="1086"/>
    </row>
    <row r="4" spans="1:10" ht="15" customHeight="1">
      <c r="A4" s="1087" t="str">
        <f>+'Attachment H'!D5</f>
        <v>GridLiance High Plains LLC</v>
      </c>
      <c r="B4" s="1087"/>
      <c r="C4" s="1087"/>
      <c r="D4" s="1087"/>
      <c r="E4" s="1087"/>
      <c r="F4" s="1087"/>
      <c r="G4" s="1087"/>
      <c r="H4" s="1087"/>
      <c r="I4" s="1087"/>
      <c r="J4" s="1087"/>
    </row>
    <row r="5" spans="1:6" ht="12.75">
      <c r="A5" s="751"/>
      <c r="F5" s="752"/>
    </row>
    <row r="6" spans="1:6" ht="12.75">
      <c r="A6" s="751"/>
      <c r="B6" s="142" t="s">
        <v>1061</v>
      </c>
      <c r="F6" s="752"/>
    </row>
    <row r="7" spans="1:6" ht="12.75">
      <c r="A7" s="751"/>
      <c r="B7" s="142" t="s">
        <v>1062</v>
      </c>
      <c r="F7" s="752"/>
    </row>
    <row r="8" spans="1:6" ht="12.75">
      <c r="A8" s="751"/>
      <c r="B8" s="142" t="s">
        <v>1063</v>
      </c>
      <c r="F8" s="752"/>
    </row>
    <row r="9" spans="1:6" ht="12.75">
      <c r="A9" s="751"/>
      <c r="F9" s="752"/>
    </row>
    <row r="10" spans="2:2" ht="13.5" thickBot="1">
      <c r="B10" s="142" t="s">
        <v>1064</v>
      </c>
    </row>
    <row r="11" spans="2:6" ht="12.75">
      <c r="B11" s="753"/>
      <c r="C11" s="754"/>
      <c r="D11" s="754"/>
      <c r="E11" s="754"/>
      <c r="F11" s="755"/>
    </row>
    <row r="12" spans="1:9" ht="13.5" thickBot="1">
      <c r="A12" s="749">
        <v>1</v>
      </c>
      <c r="B12" s="756" t="s">
        <v>1065</v>
      </c>
      <c r="C12" s="757"/>
      <c r="D12" s="757"/>
      <c r="E12" s="757"/>
      <c r="F12" s="758"/>
      <c r="H12" s="1088"/>
      <c r="I12" s="1088"/>
    </row>
    <row r="13" spans="2:9" ht="13.5" thickBot="1">
      <c r="B13" s="142" t="s">
        <v>1066</v>
      </c>
      <c r="F13" s="759"/>
      <c r="H13" s="760"/>
      <c r="I13" s="761"/>
    </row>
    <row r="14" spans="1:9" ht="12.75">
      <c r="A14" s="749">
        <v>2</v>
      </c>
      <c r="B14" s="753" t="s">
        <v>1067</v>
      </c>
      <c r="C14" s="754"/>
      <c r="D14" s="754"/>
      <c r="E14" s="754"/>
      <c r="F14" s="762" t="e">
        <f>ROUND(XIRR(J55:J71,B55:B71,0.08),4)</f>
        <v>#NUM!</v>
      </c>
      <c r="G14" s="763"/>
      <c r="H14" s="764"/>
      <c r="I14" s="764"/>
    </row>
    <row r="15" spans="1:10" ht="12.75">
      <c r="A15" s="749">
        <f>+A14+1</f>
        <v>3</v>
      </c>
      <c r="B15" s="765" t="s">
        <v>1068</v>
      </c>
      <c r="F15" s="766"/>
      <c r="H15" s="764"/>
      <c r="I15" s="764"/>
      <c r="J15" s="1"/>
    </row>
    <row r="16" spans="1:10" ht="12.75">
      <c r="A16" s="749">
        <f t="shared" si="0" ref="A16:A78">+A15+1</f>
        <v>4</v>
      </c>
      <c r="B16" s="765"/>
      <c r="F16" s="767"/>
      <c r="H16" s="764"/>
      <c r="I16" s="764"/>
      <c r="J16" s="1"/>
    </row>
    <row r="17" spans="1:11" ht="12.75">
      <c r="A17" s="749">
        <f t="shared" si="0"/>
        <v>5</v>
      </c>
      <c r="B17" s="765"/>
      <c r="F17" s="767"/>
      <c r="K17" s="768"/>
    </row>
    <row r="18" spans="1:10" ht="12.75">
      <c r="A18" s="749">
        <f t="shared" si="0"/>
        <v>6</v>
      </c>
      <c r="B18" s="765" t="s">
        <v>1069</v>
      </c>
      <c r="C18" s="143"/>
      <c r="F18" s="767"/>
      <c r="J18" s="769"/>
    </row>
    <row r="19" spans="1:6" ht="12.75">
      <c r="A19" s="749">
        <f t="shared" si="0"/>
        <v>7</v>
      </c>
      <c r="B19" s="765"/>
      <c r="C19" s="143"/>
      <c r="F19" s="767"/>
    </row>
    <row r="20" spans="1:6" ht="19.5" customHeight="1" thickBot="1">
      <c r="A20" s="749">
        <f t="shared" si="0"/>
        <v>8</v>
      </c>
      <c r="B20" s="756"/>
      <c r="C20" s="770"/>
      <c r="D20" s="757"/>
      <c r="E20" s="757"/>
      <c r="F20" s="771"/>
    </row>
    <row r="21" spans="2:6" ht="12.75">
      <c r="B21" s="772"/>
      <c r="F21" s="773"/>
    </row>
    <row r="22" spans="2:6" ht="13.5" thickBot="1">
      <c r="B22" s="142" t="s">
        <v>1070</v>
      </c>
      <c r="F22" s="769"/>
    </row>
    <row r="23" spans="1:6" ht="12.75">
      <c r="A23" s="749">
        <f>+A20+1</f>
        <v>9</v>
      </c>
      <c r="B23" s="774"/>
      <c r="C23" s="754"/>
      <c r="D23" s="754"/>
      <c r="E23" s="754"/>
      <c r="F23" s="775"/>
    </row>
    <row r="24" spans="1:6" ht="12.75">
      <c r="A24" s="749">
        <f t="shared" si="0"/>
        <v>10</v>
      </c>
      <c r="B24" s="765" t="s">
        <v>1071</v>
      </c>
      <c r="E24" s="143" t="s">
        <v>1072</v>
      </c>
      <c r="F24" s="776" t="s">
        <v>179</v>
      </c>
    </row>
    <row r="25" spans="1:10" ht="12.75">
      <c r="A25" s="749">
        <f t="shared" si="0"/>
        <v>11</v>
      </c>
      <c r="B25" s="777" t="s">
        <v>1073</v>
      </c>
      <c r="C25" s="146"/>
      <c r="D25" s="146"/>
      <c r="E25" s="778"/>
      <c r="F25" s="779"/>
      <c r="G25" s="1089"/>
      <c r="H25" s="1090"/>
      <c r="I25" s="1090"/>
      <c r="J25" s="780"/>
    </row>
    <row r="26" spans="1:12" ht="12.75">
      <c r="A26" s="749">
        <f t="shared" si="0"/>
        <v>12</v>
      </c>
      <c r="B26" s="777" t="s">
        <v>1074</v>
      </c>
      <c r="C26" s="146"/>
      <c r="D26" s="146"/>
      <c r="E26" s="781"/>
      <c r="F26" s="779"/>
      <c r="G26" s="749"/>
      <c r="H26" s="782"/>
      <c r="I26" s="782"/>
      <c r="L26" s="783"/>
    </row>
    <row r="27" spans="1:10" ht="12.75">
      <c r="A27" s="749">
        <f t="shared" si="0"/>
        <v>13</v>
      </c>
      <c r="B27" s="777" t="s">
        <v>1075</v>
      </c>
      <c r="C27" s="146"/>
      <c r="D27" s="146"/>
      <c r="E27" s="778"/>
      <c r="F27" s="779"/>
      <c r="G27" s="749"/>
      <c r="H27" s="782"/>
      <c r="I27" s="782"/>
      <c r="J27" s="738"/>
    </row>
    <row r="28" spans="1:7" ht="12.75">
      <c r="A28" s="749">
        <f t="shared" si="0"/>
        <v>14</v>
      </c>
      <c r="B28" s="777" t="s">
        <v>1076</v>
      </c>
      <c r="C28" s="146"/>
      <c r="D28" s="146"/>
      <c r="E28" s="784"/>
      <c r="F28" s="785"/>
      <c r="G28" s="749"/>
    </row>
    <row r="29" spans="1:9" ht="12.75">
      <c r="A29" s="749">
        <f t="shared" si="0"/>
        <v>15</v>
      </c>
      <c r="B29" s="777" t="s">
        <v>1077</v>
      </c>
      <c r="C29" s="784"/>
      <c r="D29" s="146"/>
      <c r="E29" s="26"/>
      <c r="F29" s="785"/>
      <c r="G29" s="749"/>
      <c r="I29" s="782"/>
    </row>
    <row r="30" spans="1:9" ht="12.75">
      <c r="A30" s="749" t="s">
        <v>377</v>
      </c>
      <c r="B30" s="777"/>
      <c r="C30" s="784"/>
      <c r="D30" s="146"/>
      <c r="E30" s="26"/>
      <c r="F30" s="786"/>
      <c r="G30" s="749"/>
      <c r="I30" s="782"/>
    </row>
    <row r="31" spans="1:7" ht="13.5" thickBot="1">
      <c r="A31" s="749">
        <f>+A29+1</f>
        <v>16</v>
      </c>
      <c r="B31" s="787" t="s">
        <v>1078</v>
      </c>
      <c r="C31" s="788"/>
      <c r="E31" s="789"/>
      <c r="F31" s="790">
        <f>SUM(F26:F29)</f>
        <v>0</v>
      </c>
      <c r="G31" s="749"/>
    </row>
    <row r="32" spans="2:10" ht="14.25" thickTop="1" thickBot="1">
      <c r="B32" s="791"/>
      <c r="C32" s="792"/>
      <c r="D32" s="757"/>
      <c r="E32" s="757"/>
      <c r="F32" s="793"/>
      <c r="G32" s="749"/>
      <c r="J32" s="780"/>
    </row>
    <row r="33" spans="1:10" ht="12.75">
      <c r="A33" s="749">
        <f>+A31+1</f>
        <v>17</v>
      </c>
      <c r="B33" s="794"/>
      <c r="C33" s="795"/>
      <c r="D33" s="796"/>
      <c r="E33" s="796"/>
      <c r="F33" s="797"/>
      <c r="G33" s="749"/>
      <c r="J33" s="798"/>
    </row>
    <row r="34" spans="1:10" ht="12.75">
      <c r="A34" s="749">
        <f t="shared" si="0"/>
        <v>18</v>
      </c>
      <c r="B34" s="799" t="s">
        <v>1079</v>
      </c>
      <c r="C34" s="784"/>
      <c r="D34" s="146"/>
      <c r="E34" s="800">
        <v>0</v>
      </c>
      <c r="F34" s="785">
        <v>0</v>
      </c>
      <c r="G34" s="749"/>
      <c r="J34" s="798"/>
    </row>
    <row r="35" spans="1:10" ht="12.75">
      <c r="A35" s="749">
        <f t="shared" si="0"/>
        <v>19</v>
      </c>
      <c r="B35" s="799" t="s">
        <v>1080</v>
      </c>
      <c r="C35" s="784"/>
      <c r="D35" s="146"/>
      <c r="E35" s="60">
        <v>0</v>
      </c>
      <c r="F35" s="785">
        <v>0</v>
      </c>
      <c r="G35" s="749"/>
      <c r="J35" s="798"/>
    </row>
    <row r="36" spans="1:10" ht="12.75">
      <c r="A36" s="749">
        <v>21</v>
      </c>
      <c r="B36" s="799" t="s">
        <v>1081</v>
      </c>
      <c r="C36" s="784"/>
      <c r="D36" s="146"/>
      <c r="E36" s="26"/>
      <c r="F36" s="801">
        <f>+E36</f>
        <v>0</v>
      </c>
      <c r="G36" s="749"/>
      <c r="J36" s="798"/>
    </row>
    <row r="37" spans="1:9" ht="13.5" thickBot="1">
      <c r="A37" s="749" t="s">
        <v>1082</v>
      </c>
      <c r="B37" s="802"/>
      <c r="C37" s="803"/>
      <c r="D37" s="804"/>
      <c r="E37" s="805"/>
      <c r="F37" s="806"/>
      <c r="G37" s="749"/>
      <c r="H37" s="807"/>
      <c r="I37" s="782"/>
    </row>
    <row r="38" spans="2:7" ht="12.75">
      <c r="B38" s="772"/>
      <c r="C38" s="752"/>
      <c r="E38" s="808"/>
      <c r="F38" s="752"/>
      <c r="G38" s="749"/>
    </row>
    <row r="39" spans="2:3" ht="13.5" thickBot="1">
      <c r="B39" s="142" t="s">
        <v>1083</v>
      </c>
      <c r="C39" s="752"/>
    </row>
    <row r="40" spans="1:9" ht="13.5" thickBot="1">
      <c r="A40" s="749">
        <v>22</v>
      </c>
      <c r="B40" s="809"/>
      <c r="C40" s="810">
        <v>2015</v>
      </c>
      <c r="D40" s="810">
        <f t="shared" si="1" ref="D40:I40">+C40+1</f>
        <v>2016</v>
      </c>
      <c r="E40" s="810">
        <f t="shared" si="1"/>
        <v>2017</v>
      </c>
      <c r="F40" s="810">
        <f t="shared" si="1"/>
        <v>2018</v>
      </c>
      <c r="G40" s="810">
        <f t="shared" si="1"/>
        <v>2019</v>
      </c>
      <c r="H40" s="810">
        <f t="shared" si="1"/>
        <v>2020</v>
      </c>
      <c r="I40" s="810">
        <f t="shared" si="1"/>
        <v>2021</v>
      </c>
    </row>
    <row r="41" spans="1:9" ht="13.5" thickBot="1">
      <c r="A41" s="749">
        <f t="shared" si="0"/>
        <v>23</v>
      </c>
      <c r="B41" s="791" t="s">
        <v>1084</v>
      </c>
      <c r="C41" s="811"/>
      <c r="D41" s="811"/>
      <c r="E41" s="811"/>
      <c r="F41" s="811"/>
      <c r="G41" s="811"/>
      <c r="H41" s="811"/>
      <c r="I41" s="811"/>
    </row>
    <row r="42" spans="1:9" ht="13.5" thickBot="1">
      <c r="A42" s="749">
        <f t="shared" si="0"/>
        <v>24</v>
      </c>
      <c r="B42" s="791" t="s">
        <v>1085</v>
      </c>
      <c r="C42" s="811"/>
      <c r="D42" s="811"/>
      <c r="E42" s="811"/>
      <c r="F42" s="811"/>
      <c r="G42" s="811"/>
      <c r="H42" s="811"/>
      <c r="I42" s="811"/>
    </row>
    <row r="43" spans="1:9" ht="13.5" thickBot="1">
      <c r="A43" s="749">
        <f t="shared" si="0"/>
        <v>25</v>
      </c>
      <c r="B43" s="756" t="s">
        <v>1086</v>
      </c>
      <c r="C43" s="812">
        <f>SUM(C41:C42)</f>
        <v>0</v>
      </c>
      <c r="D43" s="812">
        <f t="shared" si="2" ref="D43:I43">SUM(D41:D42)</f>
        <v>0</v>
      </c>
      <c r="E43" s="812">
        <f t="shared" si="2"/>
        <v>0</v>
      </c>
      <c r="F43" s="812">
        <f t="shared" si="2"/>
        <v>0</v>
      </c>
      <c r="G43" s="812">
        <f t="shared" si="2"/>
        <v>0</v>
      </c>
      <c r="H43" s="812">
        <f t="shared" si="2"/>
        <v>0</v>
      </c>
      <c r="I43" s="812">
        <f t="shared" si="2"/>
        <v>0</v>
      </c>
    </row>
    <row r="45" spans="2:2" ht="13.5" thickBot="1">
      <c r="B45" s="142" t="s">
        <v>1087</v>
      </c>
    </row>
    <row r="46" spans="1:10" ht="12.75">
      <c r="A46" s="749">
        <f>+A43+1</f>
        <v>26</v>
      </c>
      <c r="B46" s="813" t="s">
        <v>914</v>
      </c>
      <c r="C46" s="814" t="s">
        <v>915</v>
      </c>
      <c r="D46" s="814" t="s">
        <v>1088</v>
      </c>
      <c r="E46" s="814" t="s">
        <v>917</v>
      </c>
      <c r="F46" s="814" t="s">
        <v>995</v>
      </c>
      <c r="G46" s="814" t="s">
        <v>919</v>
      </c>
      <c r="H46" s="814" t="s">
        <v>920</v>
      </c>
      <c r="I46" s="814" t="s">
        <v>921</v>
      </c>
      <c r="J46" s="815" t="s">
        <v>996</v>
      </c>
    </row>
    <row r="47" spans="1:10" ht="51" customHeight="1">
      <c r="A47" s="749">
        <f t="shared" si="0"/>
        <v>27</v>
      </c>
      <c r="B47" s="816" t="s">
        <v>806</v>
      </c>
      <c r="C47" s="143"/>
      <c r="D47" s="817" t="s">
        <v>1089</v>
      </c>
      <c r="E47" s="817" t="s">
        <v>1090</v>
      </c>
      <c r="F47" s="817" t="s">
        <v>1091</v>
      </c>
      <c r="G47" s="817" t="s">
        <v>1092</v>
      </c>
      <c r="H47" s="817" t="s">
        <v>1093</v>
      </c>
      <c r="I47" s="817" t="s">
        <v>1094</v>
      </c>
      <c r="J47" s="818" t="s">
        <v>1095</v>
      </c>
    </row>
    <row r="48" spans="1:10" ht="27.75" customHeight="1" thickBot="1">
      <c r="A48" s="749">
        <f t="shared" si="0"/>
        <v>28</v>
      </c>
      <c r="B48" s="819"/>
      <c r="C48" s="770"/>
      <c r="D48" s="820" t="s">
        <v>1096</v>
      </c>
      <c r="E48" s="820" t="s">
        <v>1096</v>
      </c>
      <c r="F48" s="820" t="s">
        <v>1097</v>
      </c>
      <c r="G48" s="820" t="s">
        <v>1098</v>
      </c>
      <c r="H48" s="820" t="s">
        <v>1099</v>
      </c>
      <c r="I48" s="820" t="s">
        <v>1100</v>
      </c>
      <c r="J48" s="821" t="s">
        <v>1101</v>
      </c>
    </row>
    <row r="49" spans="1:10" ht="12.75">
      <c r="A49" s="749">
        <f t="shared" si="0"/>
        <v>29</v>
      </c>
      <c r="B49" s="813"/>
      <c r="C49" s="814"/>
      <c r="D49" s="754"/>
      <c r="E49" s="754"/>
      <c r="F49" s="754"/>
      <c r="G49" s="754"/>
      <c r="H49" s="754"/>
      <c r="I49" s="754"/>
      <c r="J49" s="755"/>
    </row>
    <row r="50" spans="1:10" ht="12.75">
      <c r="A50" s="749">
        <f t="shared" si="0"/>
        <v>30</v>
      </c>
      <c r="B50" s="822"/>
      <c r="C50" s="823"/>
      <c r="D50" s="824"/>
      <c r="E50" s="146"/>
      <c r="J50" s="825"/>
    </row>
    <row r="51" spans="1:10" ht="12.75">
      <c r="A51" s="749">
        <f t="shared" si="0"/>
        <v>31</v>
      </c>
      <c r="B51" s="822"/>
      <c r="C51" s="826"/>
      <c r="D51" s="824"/>
      <c r="E51" s="784"/>
      <c r="F51" s="788">
        <f>+D51*0.4</f>
        <v>0</v>
      </c>
      <c r="G51" s="827">
        <v>0</v>
      </c>
      <c r="H51" s="828"/>
      <c r="I51" s="788"/>
      <c r="J51" s="825">
        <f>E51-G51-H51-I51</f>
        <v>0</v>
      </c>
    </row>
    <row r="52" spans="1:12" ht="12.75">
      <c r="A52" s="749">
        <f t="shared" si="0"/>
        <v>32</v>
      </c>
      <c r="B52" s="822"/>
      <c r="C52" s="826"/>
      <c r="D52" s="824"/>
      <c r="E52" s="784"/>
      <c r="F52" s="788">
        <f>SUM($E$51:E52)</f>
        <v>0</v>
      </c>
      <c r="G52" s="788">
        <f>F51*SUMIF($C$40:$I$40,YEAR(B51),$C$43:$I$43)*((B52-B51)/365)</f>
        <v>0</v>
      </c>
      <c r="H52" s="788"/>
      <c r="I52" s="788"/>
      <c r="J52" s="825">
        <f>E52-G52-H52-I52</f>
        <v>0</v>
      </c>
      <c r="L52" s="25"/>
    </row>
    <row r="53" spans="1:12" ht="12.75">
      <c r="A53" s="749">
        <f t="shared" si="0"/>
        <v>33</v>
      </c>
      <c r="B53" s="822"/>
      <c r="C53" s="826"/>
      <c r="D53" s="824"/>
      <c r="E53" s="784"/>
      <c r="F53" s="788">
        <f>SUM($E$51:E53)</f>
        <v>0</v>
      </c>
      <c r="G53" s="788">
        <f>F52*SUMIF($C$40:$I$40,YEAR(B52),$C$43:$I$43)*((B53-B52)/365)</f>
        <v>0</v>
      </c>
      <c r="H53" s="788"/>
      <c r="I53" s="788"/>
      <c r="J53" s="825">
        <f t="shared" si="3" ref="J53:J66">E53-G53-H53-I53</f>
        <v>0</v>
      </c>
      <c r="K53" s="780"/>
      <c r="L53" s="25"/>
    </row>
    <row r="54" spans="1:12" ht="12.75">
      <c r="A54" s="749">
        <f t="shared" si="0"/>
        <v>34</v>
      </c>
      <c r="B54" s="822"/>
      <c r="C54" s="826"/>
      <c r="D54" s="824"/>
      <c r="E54" s="784"/>
      <c r="F54" s="788">
        <f>SUM($E$51:E54)</f>
        <v>0</v>
      </c>
      <c r="G54" s="788">
        <f t="shared" si="4" ref="G54:G65">F53*SUMIF($C$40:$I$40,YEAR(B53),$C$43:$I$43)*((B54-B53)/365)</f>
        <v>0</v>
      </c>
      <c r="H54" s="828"/>
      <c r="I54" s="788"/>
      <c r="J54" s="825">
        <f t="shared" si="3"/>
        <v>0</v>
      </c>
      <c r="K54" s="780"/>
      <c r="L54" s="25"/>
    </row>
    <row r="55" spans="1:12" ht="12.75">
      <c r="A55" s="749">
        <f t="shared" si="0"/>
        <v>35</v>
      </c>
      <c r="B55" s="822"/>
      <c r="C55" s="826"/>
      <c r="D55" s="824"/>
      <c r="E55" s="784"/>
      <c r="F55" s="788">
        <f>SUM($E$51:E55)</f>
        <v>0</v>
      </c>
      <c r="G55" s="788">
        <f t="shared" si="4"/>
        <v>0</v>
      </c>
      <c r="H55" s="788">
        <f>F31/1000</f>
        <v>0</v>
      </c>
      <c r="I55" s="788">
        <f>($F$12/1000-F54)*$E$36/4</f>
        <v>0</v>
      </c>
      <c r="J55" s="825">
        <f t="shared" si="3"/>
        <v>0</v>
      </c>
      <c r="K55" s="780"/>
      <c r="L55" s="25"/>
    </row>
    <row r="56" spans="1:12" ht="12.75">
      <c r="A56" s="749">
        <f t="shared" si="0"/>
        <v>36</v>
      </c>
      <c r="B56" s="822"/>
      <c r="C56" s="826"/>
      <c r="D56" s="824"/>
      <c r="E56" s="784"/>
      <c r="F56" s="788">
        <f>SUM($E$51:E56)</f>
        <v>0</v>
      </c>
      <c r="G56" s="788">
        <f t="shared" si="4"/>
        <v>0</v>
      </c>
      <c r="H56" s="788"/>
      <c r="I56" s="788">
        <f>($F$12/1000-F55)*$E$36/4+$F$35/1000+$F$34/1000</f>
        <v>0</v>
      </c>
      <c r="J56" s="825">
        <f t="shared" si="3"/>
        <v>0</v>
      </c>
      <c r="K56" s="780"/>
      <c r="L56" s="25"/>
    </row>
    <row r="57" spans="1:12" ht="12.75">
      <c r="A57" s="749">
        <f t="shared" si="0"/>
        <v>37</v>
      </c>
      <c r="B57" s="822"/>
      <c r="C57" s="826"/>
      <c r="D57" s="824"/>
      <c r="E57" s="784"/>
      <c r="F57" s="788">
        <f>SUM($E$51:E57)</f>
        <v>0</v>
      </c>
      <c r="G57" s="788">
        <f t="shared" si="4"/>
        <v>0</v>
      </c>
      <c r="H57" s="788"/>
      <c r="I57" s="788">
        <f t="shared" si="5" ref="I57:I71">($F$12/1000-F56)*$E$36/4+$F$35/1000+$F$34/1000</f>
        <v>0</v>
      </c>
      <c r="J57" s="825">
        <f t="shared" si="3"/>
        <v>0</v>
      </c>
      <c r="K57" s="780"/>
      <c r="L57" s="25"/>
    </row>
    <row r="58" spans="1:12" ht="12.75">
      <c r="A58" s="749">
        <f t="shared" si="0"/>
        <v>38</v>
      </c>
      <c r="B58" s="822"/>
      <c r="C58" s="826"/>
      <c r="D58" s="824"/>
      <c r="E58" s="784"/>
      <c r="F58" s="788">
        <f>SUM($E$51:E58)</f>
        <v>0</v>
      </c>
      <c r="G58" s="788">
        <f t="shared" si="4"/>
        <v>0</v>
      </c>
      <c r="H58" s="788"/>
      <c r="I58" s="788">
        <f t="shared" si="5"/>
        <v>0</v>
      </c>
      <c r="J58" s="825">
        <f t="shared" si="3"/>
        <v>0</v>
      </c>
      <c r="K58" s="780"/>
      <c r="L58" s="25"/>
    </row>
    <row r="59" spans="1:12" ht="12.75">
      <c r="A59" s="749">
        <f t="shared" si="0"/>
        <v>39</v>
      </c>
      <c r="B59" s="822"/>
      <c r="C59" s="826"/>
      <c r="D59" s="824"/>
      <c r="E59" s="784"/>
      <c r="F59" s="788">
        <f>SUM($E$51:E59)</f>
        <v>0</v>
      </c>
      <c r="G59" s="788">
        <f t="shared" si="4"/>
        <v>0</v>
      </c>
      <c r="H59" s="788"/>
      <c r="I59" s="788">
        <f t="shared" si="5"/>
        <v>0</v>
      </c>
      <c r="J59" s="825">
        <f t="shared" si="3"/>
        <v>0</v>
      </c>
      <c r="K59" s="780"/>
      <c r="L59" s="25"/>
    </row>
    <row r="60" spans="1:12" ht="12.75">
      <c r="A60" s="749">
        <f t="shared" si="0"/>
        <v>40</v>
      </c>
      <c r="B60" s="822"/>
      <c r="C60" s="826"/>
      <c r="D60" s="824"/>
      <c r="E60" s="784"/>
      <c r="F60" s="788">
        <f>SUM($E$51:E60)</f>
        <v>0</v>
      </c>
      <c r="G60" s="788">
        <f t="shared" si="4"/>
        <v>0</v>
      </c>
      <c r="H60" s="788"/>
      <c r="I60" s="788">
        <f t="shared" si="5"/>
        <v>0</v>
      </c>
      <c r="J60" s="825">
        <f t="shared" si="3"/>
        <v>0</v>
      </c>
      <c r="K60" s="780"/>
      <c r="L60" s="25"/>
    </row>
    <row r="61" spans="1:12" ht="12.75">
      <c r="A61" s="749">
        <f t="shared" si="0"/>
        <v>41</v>
      </c>
      <c r="B61" s="822"/>
      <c r="C61" s="826"/>
      <c r="D61" s="824"/>
      <c r="E61" s="784"/>
      <c r="F61" s="788">
        <f>SUM($E$51:E61)</f>
        <v>0</v>
      </c>
      <c r="G61" s="788">
        <f t="shared" si="4"/>
        <v>0</v>
      </c>
      <c r="H61" s="788"/>
      <c r="I61" s="788">
        <f t="shared" si="5"/>
        <v>0</v>
      </c>
      <c r="J61" s="825">
        <f t="shared" si="3"/>
        <v>0</v>
      </c>
      <c r="K61" s="780"/>
      <c r="L61" s="25"/>
    </row>
    <row r="62" spans="1:12" ht="12.75">
      <c r="A62" s="749">
        <f t="shared" si="0"/>
        <v>42</v>
      </c>
      <c r="B62" s="822"/>
      <c r="C62" s="826"/>
      <c r="D62" s="824"/>
      <c r="E62" s="784"/>
      <c r="F62" s="788">
        <f>SUM($E$51:E62)</f>
        <v>0</v>
      </c>
      <c r="G62" s="788">
        <f t="shared" si="4"/>
        <v>0</v>
      </c>
      <c r="H62" s="788"/>
      <c r="I62" s="788">
        <f t="shared" si="5"/>
        <v>0</v>
      </c>
      <c r="J62" s="825">
        <f t="shared" si="3"/>
        <v>0</v>
      </c>
      <c r="K62" s="780"/>
      <c r="L62" s="25"/>
    </row>
    <row r="63" spans="1:12" ht="12.75">
      <c r="A63" s="749">
        <f t="shared" si="0"/>
        <v>43</v>
      </c>
      <c r="B63" s="822"/>
      <c r="C63" s="826"/>
      <c r="D63" s="824"/>
      <c r="E63" s="784"/>
      <c r="F63" s="788">
        <f>SUM($E$51:E63)</f>
        <v>0</v>
      </c>
      <c r="G63" s="788">
        <f t="shared" si="4"/>
        <v>0</v>
      </c>
      <c r="H63" s="788"/>
      <c r="I63" s="788">
        <f t="shared" si="5"/>
        <v>0</v>
      </c>
      <c r="J63" s="825">
        <f t="shared" si="3"/>
        <v>0</v>
      </c>
      <c r="K63" s="780"/>
      <c r="L63" s="25"/>
    </row>
    <row r="64" spans="1:12" ht="12.75">
      <c r="A64" s="749">
        <f t="shared" si="0"/>
        <v>44</v>
      </c>
      <c r="B64" s="822"/>
      <c r="C64" s="826"/>
      <c r="D64" s="824"/>
      <c r="E64" s="784"/>
      <c r="F64" s="788">
        <f>SUM($E$51:E64)</f>
        <v>0</v>
      </c>
      <c r="G64" s="788">
        <f t="shared" si="4"/>
        <v>0</v>
      </c>
      <c r="H64" s="788"/>
      <c r="I64" s="788">
        <f t="shared" si="5"/>
        <v>0</v>
      </c>
      <c r="J64" s="825">
        <f t="shared" si="3"/>
        <v>0</v>
      </c>
      <c r="K64" s="780"/>
      <c r="L64" s="25"/>
    </row>
    <row r="65" spans="1:12" ht="12.75">
      <c r="A65" s="749">
        <f t="shared" si="0"/>
        <v>45</v>
      </c>
      <c r="B65" s="822"/>
      <c r="C65" s="826"/>
      <c r="D65" s="824"/>
      <c r="E65" s="784"/>
      <c r="F65" s="788">
        <f>SUM($E$51:E65)</f>
        <v>0</v>
      </c>
      <c r="G65" s="788">
        <f t="shared" si="4"/>
        <v>0</v>
      </c>
      <c r="H65" s="788"/>
      <c r="I65" s="788">
        <f t="shared" si="5"/>
        <v>0</v>
      </c>
      <c r="J65" s="825">
        <f t="shared" si="3"/>
        <v>0</v>
      </c>
      <c r="K65" s="780"/>
      <c r="L65" s="25"/>
    </row>
    <row r="66" spans="1:12" ht="24" customHeight="1">
      <c r="A66" s="749">
        <f t="shared" si="0"/>
        <v>46</v>
      </c>
      <c r="B66" s="822"/>
      <c r="C66" s="826"/>
      <c r="D66" s="824"/>
      <c r="E66" s="784"/>
      <c r="F66" s="788">
        <f>SUM($E$51:E66)</f>
        <v>0</v>
      </c>
      <c r="G66" s="788">
        <f>F65*SUMIF($C$40:$I$40,YEAR(B65),$C$43:$I$43)*((B66-B65)/365)</f>
        <v>0</v>
      </c>
      <c r="H66" s="788"/>
      <c r="I66" s="788">
        <f t="shared" si="5"/>
        <v>0</v>
      </c>
      <c r="J66" s="825">
        <f t="shared" si="3"/>
        <v>0</v>
      </c>
      <c r="K66" s="780"/>
      <c r="L66" s="25"/>
    </row>
    <row r="67" spans="1:12" ht="12.75">
      <c r="A67" s="749">
        <f t="shared" si="0"/>
        <v>47</v>
      </c>
      <c r="B67" s="822"/>
      <c r="C67" s="826"/>
      <c r="D67" s="824"/>
      <c r="E67" s="784"/>
      <c r="F67" s="788">
        <f>SUM($E$51:E67)</f>
        <v>0</v>
      </c>
      <c r="G67" s="788">
        <f>F66*SUMIF($C$40:$I$40,YEAR(B66),$C$43:$I$43)*((B67-B66)/365)</f>
        <v>0</v>
      </c>
      <c r="H67" s="788"/>
      <c r="I67" s="788">
        <f t="shared" si="5"/>
        <v>0</v>
      </c>
      <c r="J67" s="825">
        <f>E67-G67-H67-I67</f>
        <v>0</v>
      </c>
      <c r="K67" s="780"/>
      <c r="L67" s="25"/>
    </row>
    <row r="68" spans="1:12" ht="12.75">
      <c r="A68" s="749">
        <f t="shared" si="0"/>
        <v>48</v>
      </c>
      <c r="B68" s="822"/>
      <c r="C68" s="826"/>
      <c r="D68" s="824"/>
      <c r="E68" s="784"/>
      <c r="F68" s="788">
        <f>SUM($E$51:E68)</f>
        <v>0</v>
      </c>
      <c r="G68" s="788">
        <f>F67*SUMIF($C$40:$I$40,YEAR(B67),$C$43:$I$43)*((B68-B67)/365)</f>
        <v>0</v>
      </c>
      <c r="H68" s="788"/>
      <c r="I68" s="788">
        <f t="shared" si="5"/>
        <v>0</v>
      </c>
      <c r="J68" s="825">
        <f>E68-G68-H68-I68</f>
        <v>0</v>
      </c>
      <c r="K68" s="780"/>
      <c r="L68" s="25"/>
    </row>
    <row r="69" spans="1:12" ht="12.75">
      <c r="A69" s="749">
        <f t="shared" si="0"/>
        <v>49</v>
      </c>
      <c r="B69" s="822"/>
      <c r="C69" s="826"/>
      <c r="D69" s="824"/>
      <c r="E69" s="784"/>
      <c r="F69" s="788">
        <f>SUM($E$51:E69)</f>
        <v>0</v>
      </c>
      <c r="G69" s="788">
        <f>F68*SUMIF($C$40:$I$40,YEAR(B68),$C$43:$I$43)*((B69-B68)/365)</f>
        <v>0</v>
      </c>
      <c r="H69" s="788"/>
      <c r="I69" s="788">
        <f t="shared" si="5"/>
        <v>0</v>
      </c>
      <c r="J69" s="825">
        <f>E69-G69-H69-I69</f>
        <v>0</v>
      </c>
      <c r="K69" s="780"/>
      <c r="L69" s="25"/>
    </row>
    <row r="70" spans="1:11" ht="12.75">
      <c r="A70" s="749">
        <f t="shared" si="0"/>
        <v>50</v>
      </c>
      <c r="B70" s="822"/>
      <c r="C70" s="826"/>
      <c r="D70" s="824"/>
      <c r="E70" s="784"/>
      <c r="F70" s="788">
        <f>SUM($E$51:E70)</f>
        <v>0</v>
      </c>
      <c r="G70" s="788">
        <f>F69*SUMIF($C$40:$I$40,YEAR(B69),$C$43:$I$43)*((B70-B69)/365)</f>
        <v>0</v>
      </c>
      <c r="H70" s="788"/>
      <c r="I70" s="788">
        <f t="shared" si="5"/>
        <v>0</v>
      </c>
      <c r="J70" s="825">
        <f>E70-G70-H70-I70</f>
        <v>0</v>
      </c>
      <c r="K70" s="780"/>
    </row>
    <row r="71" spans="1:11" ht="12.75">
      <c r="A71" s="749">
        <f t="shared" si="0"/>
        <v>51</v>
      </c>
      <c r="B71" s="822"/>
      <c r="C71" s="826"/>
      <c r="D71" s="824"/>
      <c r="E71" s="784"/>
      <c r="F71" s="788">
        <f>SUM($E$51:E71)</f>
        <v>0</v>
      </c>
      <c r="G71" s="788">
        <f>F70*SUMIF($C$40:$I$40,YEAR(B70),$C$43:$I$43)*((B71-B70)/365)+F71</f>
        <v>0</v>
      </c>
      <c r="H71" s="788"/>
      <c r="I71" s="788">
        <f t="shared" si="5"/>
        <v>0</v>
      </c>
      <c r="J71" s="825">
        <f>E71-G71-H71-I71</f>
        <v>0</v>
      </c>
      <c r="K71" s="780"/>
    </row>
    <row r="72" spans="1:11" ht="12.75">
      <c r="A72" s="749">
        <f t="shared" si="0"/>
        <v>52</v>
      </c>
      <c r="B72" s="829"/>
      <c r="C72" s="823"/>
      <c r="D72" s="784"/>
      <c r="E72" s="784"/>
      <c r="F72" s="788"/>
      <c r="G72" s="788"/>
      <c r="H72" s="788"/>
      <c r="I72" s="788"/>
      <c r="J72" s="825"/>
      <c r="K72" s="780"/>
    </row>
    <row r="73" spans="1:11" ht="12.75">
      <c r="A73" s="749">
        <f t="shared" si="0"/>
        <v>53</v>
      </c>
      <c r="B73" s="829"/>
      <c r="C73" s="830"/>
      <c r="D73" s="784"/>
      <c r="E73" s="784"/>
      <c r="F73" s="788"/>
      <c r="G73" s="831"/>
      <c r="H73" s="788"/>
      <c r="I73" s="788"/>
      <c r="J73" s="825"/>
      <c r="K73" s="780"/>
    </row>
    <row r="74" spans="1:11" ht="12.75">
      <c r="A74" s="749">
        <f t="shared" si="0"/>
        <v>54</v>
      </c>
      <c r="B74" s="829"/>
      <c r="C74" s="823"/>
      <c r="D74" s="784"/>
      <c r="E74" s="784"/>
      <c r="F74" s="788"/>
      <c r="G74" s="832"/>
      <c r="H74" s="788"/>
      <c r="I74" s="788"/>
      <c r="J74" s="825"/>
      <c r="K74" s="780"/>
    </row>
    <row r="75" spans="1:11" ht="12.75">
      <c r="A75" s="749">
        <f t="shared" si="0"/>
        <v>55</v>
      </c>
      <c r="B75" s="829"/>
      <c r="C75" s="823"/>
      <c r="D75" s="784"/>
      <c r="E75" s="784"/>
      <c r="F75" s="788"/>
      <c r="G75" s="788"/>
      <c r="H75" s="788"/>
      <c r="I75" s="788"/>
      <c r="J75" s="825"/>
      <c r="K75" s="780"/>
    </row>
    <row r="76" spans="1:11" ht="12.75">
      <c r="A76" s="749">
        <f t="shared" si="0"/>
        <v>56</v>
      </c>
      <c r="B76" s="829"/>
      <c r="C76" s="823"/>
      <c r="D76" s="784"/>
      <c r="E76" s="784"/>
      <c r="F76" s="788"/>
      <c r="G76" s="788"/>
      <c r="H76" s="788"/>
      <c r="I76" s="788"/>
      <c r="J76" s="825"/>
      <c r="K76" s="780"/>
    </row>
    <row r="77" spans="1:11" ht="12.75">
      <c r="A77" s="749">
        <f t="shared" si="0"/>
        <v>57</v>
      </c>
      <c r="B77" s="829"/>
      <c r="C77" s="823"/>
      <c r="D77" s="784"/>
      <c r="E77" s="784"/>
      <c r="F77" s="788"/>
      <c r="G77" s="788"/>
      <c r="H77" s="788"/>
      <c r="I77" s="788"/>
      <c r="J77" s="825"/>
      <c r="K77" s="780"/>
    </row>
    <row r="78" spans="1:11" ht="13.5" thickBot="1">
      <c r="A78" s="749">
        <f t="shared" si="0"/>
        <v>58</v>
      </c>
      <c r="B78" s="833"/>
      <c r="C78" s="770"/>
      <c r="D78" s="792"/>
      <c r="E78" s="792"/>
      <c r="F78" s="792"/>
      <c r="G78" s="792"/>
      <c r="H78" s="792"/>
      <c r="I78" s="792"/>
      <c r="J78" s="793"/>
      <c r="K78" s="780"/>
    </row>
    <row r="79" spans="11:11" ht="12.75">
      <c r="K79" s="780"/>
    </row>
    <row r="80" spans="1:1" ht="12.75">
      <c r="A80" s="749" t="s">
        <v>980</v>
      </c>
    </row>
    <row r="81" spans="2:2" ht="12.75">
      <c r="B81" s="142" t="str">
        <f>"1  The IRR is the input to Debt Cost shown on Attachment H, Page 4, Line "&amp;'Attachment H'!A208&amp;"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row>
    <row r="82" spans="2:2" ht="12.75">
      <c r="B82" s="142" t="s">
        <v>1102</v>
      </c>
    </row>
    <row r="83" spans="2:2" ht="12.75">
      <c r="B83" s="142" t="s">
        <v>1103</v>
      </c>
    </row>
    <row r="84" spans="2:2" ht="12.75">
      <c r="B84" s="142" t="s">
        <v>1104</v>
      </c>
    </row>
    <row r="85" spans="2:2" ht="12.75">
      <c r="B85" s="142" t="s">
        <v>1105</v>
      </c>
    </row>
    <row r="86" spans="2:2" ht="12.75">
      <c r="B86" s="142" t="s">
        <v>1106</v>
      </c>
    </row>
    <row r="87" spans="2:2" ht="12.75">
      <c r="B87" s="142" t="s">
        <v>1107</v>
      </c>
    </row>
    <row r="88" spans="2:2" ht="12.75">
      <c r="B88" s="142" t="s">
        <v>1108</v>
      </c>
    </row>
    <row r="89" spans="2:2" ht="12.75">
      <c r="B89" s="142" t="s">
        <v>1109</v>
      </c>
    </row>
    <row r="90" spans="2:2" ht="12.75">
      <c r="B90" s="749" t="s">
        <v>1110</v>
      </c>
    </row>
    <row r="91" spans="2:2" ht="12.75">
      <c r="B91" s="142" t="s">
        <v>1111</v>
      </c>
    </row>
    <row r="92" spans="2:2" ht="12.75">
      <c r="B92" s="142" t="s">
        <v>1112</v>
      </c>
    </row>
    <row r="93" spans="2:10" ht="12.75">
      <c r="B93" s="142" t="s">
        <v>1113</v>
      </c>
      <c r="E93" s="145"/>
      <c r="G93" s="145"/>
      <c r="H93" s="145"/>
      <c r="J93" s="145"/>
    </row>
    <row r="94" spans="2:5" ht="12.75">
      <c r="B94" s="142" t="s">
        <v>1114</v>
      </c>
      <c r="E94" s="788"/>
    </row>
    <row r="95" spans="2:5" ht="12.75">
      <c r="B95" s="142" t="s">
        <v>1115</v>
      </c>
      <c r="D95" s="788"/>
      <c r="E95" s="788"/>
    </row>
    <row r="96" spans="2:5" ht="12.75">
      <c r="B96" s="142" t="s">
        <v>1116</v>
      </c>
      <c r="D96" s="788"/>
      <c r="E96" s="788"/>
    </row>
    <row r="97" spans="2:5" ht="12.75">
      <c r="B97" s="142" t="s">
        <v>1117</v>
      </c>
      <c r="D97" s="788"/>
      <c r="E97" s="788"/>
    </row>
    <row r="98" spans="2:5" ht="12.75">
      <c r="B98" s="142" t="s">
        <v>1118</v>
      </c>
      <c r="D98" s="788"/>
      <c r="E98" s="788"/>
    </row>
    <row r="99" spans="2:5" ht="12.75">
      <c r="B99" s="142" t="s">
        <v>1119</v>
      </c>
      <c r="D99" s="788"/>
      <c r="E99" s="788"/>
    </row>
    <row r="100" spans="3:5" ht="12.75">
      <c r="C100" s="142" t="s">
        <v>1120</v>
      </c>
      <c r="E100" s="788"/>
    </row>
    <row r="101" spans="2:5" ht="12.75">
      <c r="B101" s="750" t="s">
        <v>1121</v>
      </c>
      <c r="C101" s="142" t="s">
        <v>1122</v>
      </c>
      <c r="E101" s="788"/>
    </row>
    <row r="102" spans="2:4" ht="12.75">
      <c r="B102" s="142" t="s">
        <v>1123</v>
      </c>
      <c r="C102" s="834"/>
      <c r="D102" s="834"/>
    </row>
    <row r="103" spans="2:2" ht="12.75" customHeight="1">
      <c r="B103" s="142" t="s">
        <v>1124</v>
      </c>
    </row>
    <row r="104" spans="2:11" ht="54" customHeight="1">
      <c r="B104" s="1040" t="s">
        <v>1125</v>
      </c>
      <c r="C104" s="1040"/>
      <c r="D104" s="1040"/>
      <c r="E104" s="1040"/>
      <c r="F104" s="1040"/>
      <c r="G104" s="1040"/>
      <c r="H104" s="1040"/>
      <c r="I104" s="1040"/>
      <c r="J104" s="1040"/>
      <c r="K104" s="835"/>
    </row>
    <row r="107" spans="4:4" ht="12.75">
      <c r="D107" s="834"/>
    </row>
    <row r="115" spans="2:2" ht="12.75">
      <c r="B115" s="749"/>
    </row>
    <row r="116" spans="5:10" ht="12.75">
      <c r="E116" s="145"/>
      <c r="G116" s="145"/>
      <c r="H116" s="145"/>
      <c r="J116" s="145"/>
    </row>
    <row r="117" spans="4:5" ht="12.75">
      <c r="D117" s="5"/>
      <c r="E117" s="5"/>
    </row>
    <row r="118" spans="4:5" ht="12.75">
      <c r="D118" s="5"/>
      <c r="E118" s="5"/>
    </row>
    <row r="119" spans="4:5" ht="12.75">
      <c r="D119" s="5"/>
      <c r="E119" s="5"/>
    </row>
    <row r="120" spans="4:5" ht="12.75">
      <c r="D120" s="5"/>
      <c r="E120" s="5"/>
    </row>
    <row r="121" spans="4:5" ht="12.75">
      <c r="D121" s="5"/>
      <c r="E121" s="5"/>
    </row>
    <row r="122" spans="4:5" ht="12.75">
      <c r="D122" s="5"/>
      <c r="E122" s="5"/>
    </row>
    <row r="123" spans="4:5" ht="12.75">
      <c r="D123" s="5"/>
      <c r="E123" s="5"/>
    </row>
    <row r="125" spans="2:2" ht="12.75">
      <c r="B125" s="750"/>
    </row>
    <row r="126" spans="3:3" ht="12.75">
      <c r="C126" s="834"/>
    </row>
    <row r="127" spans="3:3" ht="12.75">
      <c r="C127" s="834"/>
    </row>
  </sheetData>
  <mergeCells count="6">
    <mergeCell ref="B104:J104"/>
    <mergeCell ref="A2:J2"/>
    <mergeCell ref="A3:J3"/>
    <mergeCell ref="A4:J4"/>
    <mergeCell ref="H12:I12"/>
    <mergeCell ref="G25:I25"/>
  </mergeCells>
  <pageMargins left="0.25" right="0.25" top="0.75" bottom="0.75" header="0.3" footer="0.3"/>
  <pageSetup orientation="portrait" scale="48" r:id="rId5"/>
  <drawing r:id="rId1"/>
  <legacyDrawing r:id="rId4"/>
  <oleObjects>
    <mc:AlternateContent xmlns:mc="http://schemas.openxmlformats.org/markup-compatibility/2006">
      <mc:Choice Requires="x14">
        <oleObject progId="Equation.3" shapeId="2049" r:id="rId2">
          <objectPr defaultSize="0" autoPict="0" r:id="rId3">
            <anchor moveWithCells="1">
              <from>
                <xdr:col>1</xdr:col>
                <xdr:colOff>819150</xdr:colOff>
                <xdr:row>15</xdr:row>
                <xdr:rowOff>104775</xdr:rowOff>
              </from>
              <to>
                <xdr:col>4</xdr:col>
                <xdr:colOff>85725</xdr:colOff>
                <xdr:row>19</xdr:row>
                <xdr:rowOff>85725</xdr:rowOff>
              </to>
            </anchor>
          </objectPr>
        </oleObject>
      </mc:Choice>
      <mc:Fallback>
        <oleObject progId="Equation.3" shapeId="2049" r:id="rId2"/>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E2121-DD70-47CA-9DF0-95524323665C}">
  <dimension ref="A1:R255"/>
  <sheetViews>
    <sheetView view="pageBreakPreview" zoomScale="70" zoomScaleNormal="75" zoomScaleSheetLayoutView="70" workbookViewId="0" topLeftCell="A1"/>
  </sheetViews>
  <sheetFormatPr defaultColWidth="11.4255555555556" defaultRowHeight="13.2"/>
  <cols>
    <col min="1" max="1" width="5.66666666666667" style="5" bestFit="1" customWidth="1"/>
    <col min="2" max="2" width="28" style="1" customWidth="1"/>
    <col min="3" max="3" width="2.66666666666667" style="1" customWidth="1"/>
    <col min="4" max="4" width="33.8888888888889" style="1" customWidth="1"/>
    <col min="5" max="5" width="3" style="1" customWidth="1"/>
    <col min="6" max="6" width="34.6666666666667" style="1" customWidth="1"/>
    <col min="7" max="7" width="2.33333333333333" style="1" customWidth="1"/>
    <col min="8" max="8" width="21" style="1" customWidth="1"/>
    <col min="9" max="9" width="2.88888888888889" style="1" customWidth="1"/>
    <col min="10" max="10" width="19.8888888888889" style="1" customWidth="1"/>
    <col min="11" max="11" width="3.11111111111111" style="1" customWidth="1"/>
    <col min="12" max="12" width="19.3333333333333" style="1" customWidth="1"/>
    <col min="13" max="13" width="2.66666666666667" style="1" customWidth="1"/>
    <col min="14" max="14" width="20.3333333333333" style="1" customWidth="1"/>
    <col min="15" max="15" width="1.88888888888889" style="1" customWidth="1"/>
    <col min="16" max="16" width="26.1111111111111" style="1" customWidth="1"/>
    <col min="17" max="18" width="13.8888888888889" style="1" bestFit="1" customWidth="1"/>
    <col min="19" max="16384" width="11.4444444444444" style="1"/>
  </cols>
  <sheetData>
    <row r="1" spans="8:16" ht="12.75">
      <c r="H1" s="4" t="s">
        <v>1126</v>
      </c>
      <c r="P1" s="1" t="s">
        <v>1127</v>
      </c>
    </row>
    <row r="2" spans="3:14" ht="12.75">
      <c r="C2" s="836"/>
      <c r="D2" s="836"/>
      <c r="E2" s="836"/>
      <c r="F2" s="126"/>
      <c r="G2" s="836"/>
      <c r="H2" s="837" t="s">
        <v>1128</v>
      </c>
      <c r="I2" s="836"/>
      <c r="J2" s="836"/>
      <c r="K2" s="836"/>
      <c r="L2" s="836"/>
      <c r="M2" s="836"/>
      <c r="N2" s="836"/>
    </row>
    <row r="3" spans="3:14" ht="12.75">
      <c r="C3" s="126"/>
      <c r="D3" s="126"/>
      <c r="E3" s="126"/>
      <c r="F3" s="126"/>
      <c r="H3" s="4" t="str">
        <f>+'Attachment H'!D5</f>
        <v>GridLiance High Plains LLC</v>
      </c>
      <c r="I3" s="126"/>
      <c r="J3" s="126"/>
      <c r="K3" s="126"/>
      <c r="L3" s="126"/>
      <c r="M3" s="126"/>
      <c r="N3" s="126"/>
    </row>
    <row r="4" spans="2:16" ht="12.75">
      <c r="B4" s="1091"/>
      <c r="C4" s="1091"/>
      <c r="D4" s="1091"/>
      <c r="E4" s="1091"/>
      <c r="F4" s="1091"/>
      <c r="G4" s="1091"/>
      <c r="H4" s="1091"/>
      <c r="I4" s="1091"/>
      <c r="J4" s="1091"/>
      <c r="K4" s="1091"/>
      <c r="L4" s="1091"/>
      <c r="M4" s="1091"/>
      <c r="N4" s="1091"/>
      <c r="O4" s="836"/>
      <c r="P4" s="836"/>
    </row>
    <row r="5" spans="2:16" ht="12.75">
      <c r="B5" s="838"/>
      <c r="C5" s="838"/>
      <c r="D5" s="838"/>
      <c r="E5" s="838"/>
      <c r="F5" s="838"/>
      <c r="G5" s="838"/>
      <c r="H5" s="838"/>
      <c r="I5" s="838"/>
      <c r="J5" s="838"/>
      <c r="K5" s="838"/>
      <c r="L5" s="838"/>
      <c r="M5" s="838"/>
      <c r="N5" s="838"/>
      <c r="O5" s="836"/>
      <c r="P5" s="836"/>
    </row>
    <row r="6" spans="2:16" ht="14.25" thickBot="1">
      <c r="B6" s="839"/>
      <c r="C6" s="838"/>
      <c r="D6" s="838"/>
      <c r="E6" s="838"/>
      <c r="F6" s="838"/>
      <c r="G6" s="838"/>
      <c r="H6" s="838"/>
      <c r="I6" s="838"/>
      <c r="J6" s="838"/>
      <c r="K6" s="838"/>
      <c r="L6" s="838"/>
      <c r="M6" s="838"/>
      <c r="N6" s="838"/>
      <c r="O6" s="836"/>
      <c r="P6" s="836"/>
    </row>
    <row r="7" spans="2:16" ht="12.75">
      <c r="B7" s="840" t="s">
        <v>1129</v>
      </c>
      <c r="C7" s="841"/>
      <c r="D7" s="841"/>
      <c r="E7" s="841"/>
      <c r="F7" s="841"/>
      <c r="G7" s="841"/>
      <c r="H7" s="841"/>
      <c r="I7" s="841"/>
      <c r="J7" s="841"/>
      <c r="K7" s="841"/>
      <c r="L7" s="841"/>
      <c r="M7" s="841"/>
      <c r="N7" s="841"/>
      <c r="O7" s="841"/>
      <c r="P7" s="842"/>
    </row>
    <row r="8" spans="2:16" ht="12.75">
      <c r="B8" s="843" t="s">
        <v>197</v>
      </c>
      <c r="C8" s="125"/>
      <c r="D8" s="125" t="s">
        <v>198</v>
      </c>
      <c r="E8" s="125"/>
      <c r="F8" s="125" t="s">
        <v>199</v>
      </c>
      <c r="G8" s="838"/>
      <c r="H8" s="838" t="s">
        <v>200</v>
      </c>
      <c r="I8" s="838"/>
      <c r="J8" s="838" t="s">
        <v>201</v>
      </c>
      <c r="K8" s="838"/>
      <c r="L8" s="838" t="s">
        <v>221</v>
      </c>
      <c r="M8" s="838"/>
      <c r="N8" s="838" t="s">
        <v>222</v>
      </c>
      <c r="O8" s="838"/>
      <c r="P8" s="844" t="s">
        <v>223</v>
      </c>
    </row>
    <row r="9" spans="2:16" ht="88.5" customHeight="1">
      <c r="B9" s="845" t="s">
        <v>1130</v>
      </c>
      <c r="C9" s="838"/>
      <c r="D9" s="846" t="s">
        <v>1131</v>
      </c>
      <c r="E9" s="126"/>
      <c r="F9" s="846" t="s">
        <v>1132</v>
      </c>
      <c r="G9" s="847"/>
      <c r="H9" s="846" t="s">
        <v>1133</v>
      </c>
      <c r="I9" s="848"/>
      <c r="J9" s="846" t="s">
        <v>1134</v>
      </c>
      <c r="K9" s="848"/>
      <c r="L9" s="846" t="s">
        <v>1135</v>
      </c>
      <c r="N9" s="846" t="s">
        <v>1136</v>
      </c>
      <c r="O9" s="836"/>
      <c r="P9" s="849" t="s">
        <v>1137</v>
      </c>
    </row>
    <row r="10" spans="1:16" ht="12.75">
      <c r="A10" s="5">
        <v>1</v>
      </c>
      <c r="B10" s="850"/>
      <c r="C10" s="120"/>
      <c r="D10" s="851"/>
      <c r="F10" s="851"/>
      <c r="G10" s="836"/>
      <c r="H10" s="852"/>
      <c r="I10" s="853"/>
      <c r="J10" s="852"/>
      <c r="K10" s="836"/>
      <c r="L10" s="854"/>
      <c r="N10" s="855"/>
      <c r="O10" s="836"/>
      <c r="P10" s="856">
        <f>+N71</f>
        <v>0</v>
      </c>
    </row>
    <row r="11" spans="1:16" ht="12.75">
      <c r="A11" s="5">
        <v>2</v>
      </c>
      <c r="B11" s="857"/>
      <c r="C11" s="6"/>
      <c r="D11" s="858"/>
      <c r="E11" s="836"/>
      <c r="F11" s="851"/>
      <c r="G11" s="836"/>
      <c r="H11" s="852"/>
      <c r="I11" s="836"/>
      <c r="J11" s="852"/>
      <c r="K11" s="836"/>
      <c r="L11" s="854"/>
      <c r="M11" s="836"/>
      <c r="N11" s="855"/>
      <c r="O11" s="836"/>
      <c r="P11" s="856">
        <f>+N120</f>
        <v>0</v>
      </c>
    </row>
    <row r="12" spans="1:16" ht="12.75">
      <c r="A12" s="5">
        <v>3</v>
      </c>
      <c r="B12" s="857"/>
      <c r="C12" s="6"/>
      <c r="D12" s="858"/>
      <c r="E12" s="836"/>
      <c r="F12" s="851"/>
      <c r="G12" s="836"/>
      <c r="H12" s="852"/>
      <c r="I12" s="836"/>
      <c r="J12" s="852"/>
      <c r="K12" s="836"/>
      <c r="L12" s="854"/>
      <c r="M12" s="836"/>
      <c r="N12" s="855"/>
      <c r="O12" s="836"/>
      <c r="P12" s="856">
        <f>+N164</f>
        <v>0</v>
      </c>
    </row>
    <row r="13" spans="1:16" ht="12.75">
      <c r="A13" s="5">
        <v>4</v>
      </c>
      <c r="B13" s="857"/>
      <c r="C13" s="6"/>
      <c r="D13" s="858"/>
      <c r="E13" s="836"/>
      <c r="F13" s="851"/>
      <c r="G13" s="836"/>
      <c r="H13" s="852"/>
      <c r="I13" s="836"/>
      <c r="J13" s="852"/>
      <c r="K13" s="836"/>
      <c r="L13" s="854"/>
      <c r="M13" s="836"/>
      <c r="N13" s="855"/>
      <c r="O13" s="836"/>
      <c r="P13" s="856">
        <f>+N211</f>
        <v>0</v>
      </c>
    </row>
    <row r="14" spans="1:16" ht="12.75">
      <c r="A14" s="5">
        <v>5</v>
      </c>
      <c r="B14" s="857"/>
      <c r="C14" s="6"/>
      <c r="D14" s="858"/>
      <c r="E14" s="836"/>
      <c r="F14" s="851"/>
      <c r="G14" s="836"/>
      <c r="H14" s="852"/>
      <c r="I14" s="836"/>
      <c r="J14" s="852"/>
      <c r="K14" s="836"/>
      <c r="L14" s="854"/>
      <c r="M14" s="836"/>
      <c r="N14" s="855"/>
      <c r="O14" s="836"/>
      <c r="P14" s="856"/>
    </row>
    <row r="15" spans="1:16" ht="12.75">
      <c r="A15" s="5">
        <v>6</v>
      </c>
      <c r="B15" s="857"/>
      <c r="C15" s="6"/>
      <c r="D15" s="859"/>
      <c r="E15" s="836"/>
      <c r="F15" s="851"/>
      <c r="G15" s="836"/>
      <c r="H15" s="852"/>
      <c r="I15" s="836"/>
      <c r="J15" s="852"/>
      <c r="K15" s="836"/>
      <c r="L15" s="141" t="s">
        <v>1138</v>
      </c>
      <c r="M15" s="836"/>
      <c r="N15" s="860"/>
      <c r="O15" s="836"/>
      <c r="P15" s="861"/>
    </row>
    <row r="16" spans="1:16" ht="12.75">
      <c r="A16" s="5">
        <v>7</v>
      </c>
      <c r="B16" s="862"/>
      <c r="C16" s="836"/>
      <c r="D16" s="863"/>
      <c r="E16" s="836"/>
      <c r="F16" s="864"/>
      <c r="G16" s="836"/>
      <c r="H16" s="865"/>
      <c r="I16" s="836"/>
      <c r="J16" s="866"/>
      <c r="K16" s="836"/>
      <c r="L16" s="141"/>
      <c r="M16" s="836"/>
      <c r="N16" s="860"/>
      <c r="O16" s="836"/>
      <c r="P16" s="867"/>
    </row>
    <row r="17" spans="1:16" ht="13.5">
      <c r="A17" s="5">
        <v>8</v>
      </c>
      <c r="B17" s="868" t="s">
        <v>1139</v>
      </c>
      <c r="C17" s="836"/>
      <c r="D17" s="836"/>
      <c r="E17" s="836"/>
      <c r="F17" s="836"/>
      <c r="G17" s="836"/>
      <c r="H17" s="836"/>
      <c r="I17" s="836"/>
      <c r="J17" s="836"/>
      <c r="K17" s="836"/>
      <c r="L17" s="836"/>
      <c r="M17" s="836"/>
      <c r="N17" s="860"/>
      <c r="O17" s="836"/>
      <c r="P17" s="869"/>
    </row>
    <row r="18" spans="1:16" ht="13.5">
      <c r="A18" s="5">
        <v>9</v>
      </c>
      <c r="B18" s="868" t="s">
        <v>1140</v>
      </c>
      <c r="C18" s="836"/>
      <c r="D18" s="836"/>
      <c r="E18" s="836"/>
      <c r="F18" s="836"/>
      <c r="G18" s="836"/>
      <c r="H18" s="836"/>
      <c r="I18" s="836"/>
      <c r="J18" s="836"/>
      <c r="K18" s="836"/>
      <c r="L18" s="836"/>
      <c r="M18" s="836"/>
      <c r="N18" s="836"/>
      <c r="O18" s="836"/>
      <c r="P18" s="869"/>
    </row>
    <row r="19" spans="1:16" ht="13.5">
      <c r="A19" s="5">
        <v>10</v>
      </c>
      <c r="B19" s="868" t="s">
        <v>1141</v>
      </c>
      <c r="C19" s="836"/>
      <c r="D19" s="836"/>
      <c r="E19" s="836"/>
      <c r="F19" s="836"/>
      <c r="G19" s="836"/>
      <c r="H19" s="836"/>
      <c r="I19" s="836"/>
      <c r="J19" s="836"/>
      <c r="K19" s="836"/>
      <c r="L19" s="836"/>
      <c r="M19" s="836"/>
      <c r="N19" s="836"/>
      <c r="O19" s="836"/>
      <c r="P19" s="869"/>
    </row>
    <row r="20" spans="1:16" ht="13.5">
      <c r="A20" s="5">
        <v>11</v>
      </c>
      <c r="B20" s="870"/>
      <c r="C20" s="836"/>
      <c r="D20" s="836"/>
      <c r="E20" s="836"/>
      <c r="F20" s="836"/>
      <c r="G20" s="836"/>
      <c r="H20" s="836"/>
      <c r="I20" s="836"/>
      <c r="J20" s="836"/>
      <c r="K20" s="836"/>
      <c r="L20" s="836"/>
      <c r="M20" s="836"/>
      <c r="N20" s="836"/>
      <c r="O20" s="836"/>
      <c r="P20" s="869"/>
    </row>
    <row r="21" spans="1:16" ht="13.5">
      <c r="A21" s="5">
        <v>12</v>
      </c>
      <c r="B21" s="868"/>
      <c r="C21" s="836"/>
      <c r="D21" s="836"/>
      <c r="E21" s="836"/>
      <c r="F21" s="836"/>
      <c r="G21" s="836"/>
      <c r="H21" s="836"/>
      <c r="I21" s="836"/>
      <c r="J21" s="836"/>
      <c r="K21" s="836"/>
      <c r="L21" s="836"/>
      <c r="M21" s="836"/>
      <c r="N21" s="836"/>
      <c r="O21" s="836"/>
      <c r="P21" s="869"/>
    </row>
    <row r="22" spans="1:16" ht="12.75">
      <c r="A22" s="5">
        <v>13</v>
      </c>
      <c r="B22" s="871"/>
      <c r="C22" s="872"/>
      <c r="E22" s="836"/>
      <c r="F22" s="836"/>
      <c r="G22" s="836"/>
      <c r="H22" s="836"/>
      <c r="I22" s="836"/>
      <c r="J22" s="836"/>
      <c r="K22" s="836"/>
      <c r="L22" s="836"/>
      <c r="M22" s="836"/>
      <c r="N22" s="836"/>
      <c r="O22" s="836"/>
      <c r="P22" s="869"/>
    </row>
    <row r="23" spans="1:16" ht="12.75">
      <c r="A23" s="5">
        <v>14</v>
      </c>
      <c r="B23" s="873"/>
      <c r="C23" s="874"/>
      <c r="D23" s="837"/>
      <c r="E23" s="837"/>
      <c r="F23" s="874"/>
      <c r="G23" s="874"/>
      <c r="H23" s="837"/>
      <c r="I23" s="837"/>
      <c r="J23" s="874"/>
      <c r="K23" s="874"/>
      <c r="L23" s="836"/>
      <c r="M23" s="836"/>
      <c r="N23" s="836"/>
      <c r="O23" s="836"/>
      <c r="P23" s="869"/>
    </row>
    <row r="24" spans="1:16" ht="13.5" thickBot="1">
      <c r="A24" s="5">
        <v>15</v>
      </c>
      <c r="B24" s="875"/>
      <c r="C24" s="876"/>
      <c r="D24" s="877"/>
      <c r="E24" s="877"/>
      <c r="F24" s="876"/>
      <c r="G24" s="876"/>
      <c r="H24" s="877"/>
      <c r="I24" s="877"/>
      <c r="J24" s="876"/>
      <c r="K24" s="876"/>
      <c r="L24" s="878"/>
      <c r="M24" s="878"/>
      <c r="N24" s="878"/>
      <c r="O24" s="878"/>
      <c r="P24" s="879"/>
    </row>
    <row r="25" spans="1:16" ht="35.25" customHeight="1">
      <c r="A25" s="5">
        <v>16</v>
      </c>
      <c r="B25" s="880" t="s">
        <v>1142</v>
      </c>
      <c r="C25" s="880"/>
      <c r="D25" s="880"/>
      <c r="E25" s="880"/>
      <c r="F25" s="880"/>
      <c r="G25" s="880"/>
      <c r="H25" s="880"/>
      <c r="I25" s="880"/>
      <c r="J25" s="880"/>
      <c r="K25" s="880"/>
      <c r="L25" s="880"/>
      <c r="M25" s="880"/>
      <c r="N25" s="880"/>
      <c r="O25" s="880"/>
      <c r="P25" s="880"/>
    </row>
    <row r="26" spans="1:16" ht="53.25" customHeight="1">
      <c r="A26" s="5">
        <v>17</v>
      </c>
      <c r="B26" s="881" t="s">
        <v>1143</v>
      </c>
      <c r="C26" s="881"/>
      <c r="D26" s="837"/>
      <c r="E26" s="837"/>
      <c r="F26" s="848" t="s">
        <v>1144</v>
      </c>
      <c r="G26" s="874"/>
      <c r="H26" s="848" t="s">
        <v>1145</v>
      </c>
      <c r="I26" s="848"/>
      <c r="J26" s="838" t="s">
        <v>1146</v>
      </c>
      <c r="K26" s="838"/>
      <c r="L26" s="882" t="s">
        <v>1147</v>
      </c>
      <c r="M26" s="882"/>
      <c r="N26" s="848" t="s">
        <v>1148</v>
      </c>
      <c r="O26" s="883"/>
      <c r="P26" s="848" t="s">
        <v>1149</v>
      </c>
    </row>
    <row r="27" spans="1:16" ht="12.75">
      <c r="A27" s="5">
        <v>18</v>
      </c>
      <c r="B27" s="881"/>
      <c r="C27" s="881"/>
      <c r="D27" s="837"/>
      <c r="E27" s="837"/>
      <c r="F27" s="837"/>
      <c r="G27" s="884"/>
      <c r="H27" s="884" t="s">
        <v>1150</v>
      </c>
      <c r="I27" s="885"/>
      <c r="J27" s="874"/>
      <c r="K27" s="874"/>
      <c r="L27" s="836"/>
      <c r="M27" s="836"/>
      <c r="N27" s="836"/>
      <c r="O27" s="836"/>
      <c r="P27" s="836"/>
    </row>
    <row r="28" spans="1:16" ht="12.75">
      <c r="A28" s="5">
        <v>19</v>
      </c>
      <c r="B28" s="881"/>
      <c r="C28" s="881"/>
      <c r="D28" s="837"/>
      <c r="E28" s="837"/>
      <c r="F28" s="837" t="s">
        <v>1151</v>
      </c>
      <c r="G28" s="884"/>
      <c r="H28" s="837" t="s">
        <v>1152</v>
      </c>
      <c r="I28" s="885"/>
      <c r="J28" s="874"/>
      <c r="K28" s="874"/>
      <c r="L28" s="837" t="s">
        <v>1153</v>
      </c>
      <c r="M28" s="836"/>
      <c r="N28" s="836"/>
      <c r="O28" s="836"/>
      <c r="P28" s="836"/>
    </row>
    <row r="29" spans="1:16" ht="12.75">
      <c r="A29" s="5">
        <v>20</v>
      </c>
      <c r="B29" s="886" t="s">
        <v>1154</v>
      </c>
      <c r="C29" s="886"/>
      <c r="D29" s="837"/>
      <c r="E29" s="837"/>
      <c r="F29" s="4" t="s">
        <v>1155</v>
      </c>
      <c r="G29" s="837"/>
      <c r="H29" s="4" t="s">
        <v>1156</v>
      </c>
      <c r="I29" s="837"/>
      <c r="J29" s="837" t="s">
        <v>1157</v>
      </c>
      <c r="K29" s="836"/>
      <c r="L29" s="837" t="s">
        <v>1158</v>
      </c>
      <c r="M29" s="836"/>
      <c r="N29" s="836"/>
      <c r="O29" s="836"/>
      <c r="P29" s="836"/>
    </row>
    <row r="30" spans="1:16" ht="12.75">
      <c r="A30" s="5">
        <v>21</v>
      </c>
      <c r="B30" s="887" t="s">
        <v>1159</v>
      </c>
      <c r="C30" s="888"/>
      <c r="D30" s="889"/>
      <c r="E30" s="889"/>
      <c r="F30" s="889"/>
      <c r="G30" s="889"/>
      <c r="H30" s="890"/>
      <c r="I30" s="890"/>
      <c r="J30" s="890"/>
      <c r="K30" s="890"/>
      <c r="L30" s="891"/>
      <c r="M30" s="891"/>
      <c r="N30" s="889"/>
      <c r="O30" s="889"/>
      <c r="P30" s="892"/>
    </row>
    <row r="31" spans="1:16" ht="12.75">
      <c r="A31" s="5">
        <v>22</v>
      </c>
      <c r="B31" s="893"/>
      <c r="C31" s="894"/>
      <c r="D31" s="837"/>
      <c r="E31" s="837"/>
      <c r="F31" s="837"/>
      <c r="G31" s="837"/>
      <c r="H31" s="836"/>
      <c r="I31" s="836"/>
      <c r="J31" s="836"/>
      <c r="K31" s="836"/>
      <c r="L31" s="838" t="s">
        <v>1160</v>
      </c>
      <c r="M31" s="838"/>
      <c r="N31" s="837"/>
      <c r="O31" s="837"/>
      <c r="P31" s="895"/>
    </row>
    <row r="32" spans="1:16" ht="12.75">
      <c r="A32" s="5">
        <v>23</v>
      </c>
      <c r="B32" s="896"/>
      <c r="C32" s="894"/>
      <c r="D32" s="837"/>
      <c r="E32" s="837"/>
      <c r="F32" s="837"/>
      <c r="G32" s="837"/>
      <c r="H32" s="836"/>
      <c r="I32" s="836"/>
      <c r="J32" s="836"/>
      <c r="K32" s="836"/>
      <c r="L32" s="838"/>
      <c r="M32" s="838"/>
      <c r="N32" s="837"/>
      <c r="O32" s="837"/>
      <c r="P32" s="895"/>
    </row>
    <row r="33" spans="1:16" ht="12.75">
      <c r="A33" s="5">
        <v>24</v>
      </c>
      <c r="B33" s="897" t="s">
        <v>207</v>
      </c>
      <c r="C33" s="836"/>
      <c r="D33" s="836" t="s">
        <v>1161</v>
      </c>
      <c r="E33" s="836"/>
      <c r="F33" s="898" t="s">
        <v>1162</v>
      </c>
      <c r="G33" s="899"/>
      <c r="H33" s="900">
        <f>+$N$10</f>
        <v>0</v>
      </c>
      <c r="I33" s="901"/>
      <c r="J33" s="902">
        <v>12</v>
      </c>
      <c r="K33" s="836"/>
      <c r="L33" s="899" t="s">
        <v>1162</v>
      </c>
      <c r="M33" s="899"/>
      <c r="N33" s="899"/>
      <c r="O33" s="899"/>
      <c r="P33" s="903" t="s">
        <v>1162</v>
      </c>
    </row>
    <row r="34" spans="1:16" ht="12.75">
      <c r="A34" s="5">
        <v>25</v>
      </c>
      <c r="B34" s="897" t="s">
        <v>208</v>
      </c>
      <c r="C34" s="836"/>
      <c r="D34" s="836" t="s">
        <v>1161</v>
      </c>
      <c r="E34" s="836"/>
      <c r="F34" s="898" t="s">
        <v>1162</v>
      </c>
      <c r="G34" s="899"/>
      <c r="H34" s="900">
        <f t="shared" si="0" ref="H34:H44">+$N$10</f>
        <v>0</v>
      </c>
      <c r="I34" s="901"/>
      <c r="J34" s="904">
        <v>11</v>
      </c>
      <c r="L34" s="899" t="s">
        <v>1162</v>
      </c>
      <c r="M34" s="899"/>
      <c r="N34" s="899"/>
      <c r="O34" s="899"/>
      <c r="P34" s="903" t="s">
        <v>1162</v>
      </c>
    </row>
    <row r="35" spans="1:16" ht="12.75">
      <c r="A35" s="5">
        <v>26</v>
      </c>
      <c r="B35" s="897" t="s">
        <v>748</v>
      </c>
      <c r="C35" s="836"/>
      <c r="D35" s="836" t="s">
        <v>1161</v>
      </c>
      <c r="E35" s="836"/>
      <c r="F35" s="898">
        <f>+$L$10/10</f>
        <v>0</v>
      </c>
      <c r="G35" s="899"/>
      <c r="H35" s="900">
        <f t="shared" si="0"/>
        <v>0</v>
      </c>
      <c r="I35" s="901"/>
      <c r="J35" s="904">
        <v>10</v>
      </c>
      <c r="L35" s="899">
        <f>+F35*H35*J35*-1</f>
        <v>0</v>
      </c>
      <c r="M35" s="899"/>
      <c r="N35" s="899"/>
      <c r="O35" s="899"/>
      <c r="P35" s="903">
        <f>+F35*-1+L35</f>
        <v>0</v>
      </c>
    </row>
    <row r="36" spans="1:16" ht="12.75">
      <c r="A36" s="5">
        <v>27</v>
      </c>
      <c r="B36" s="897" t="s">
        <v>210</v>
      </c>
      <c r="C36" s="836"/>
      <c r="D36" s="836" t="s">
        <v>1161</v>
      </c>
      <c r="E36" s="836"/>
      <c r="F36" s="898">
        <f t="shared" si="1" ref="F36:F44">+$L$10/10</f>
        <v>0</v>
      </c>
      <c r="G36" s="899"/>
      <c r="H36" s="900">
        <f t="shared" si="0"/>
        <v>0</v>
      </c>
      <c r="I36" s="901"/>
      <c r="J36" s="904">
        <v>9</v>
      </c>
      <c r="L36" s="899">
        <f t="shared" si="2" ref="L36:L44">+F36*H36*J36*-1</f>
        <v>0</v>
      </c>
      <c r="M36" s="899"/>
      <c r="N36" s="899"/>
      <c r="O36" s="899"/>
      <c r="P36" s="903">
        <f t="shared" si="3" ref="P36:P44">+F36*-1+L36</f>
        <v>0</v>
      </c>
    </row>
    <row r="37" spans="1:16" ht="12.75">
      <c r="A37" s="5">
        <v>28</v>
      </c>
      <c r="B37" s="897" t="s">
        <v>211</v>
      </c>
      <c r="C37" s="836"/>
      <c r="D37" s="836" t="s">
        <v>1161</v>
      </c>
      <c r="E37" s="836"/>
      <c r="F37" s="898">
        <f t="shared" si="1"/>
        <v>0</v>
      </c>
      <c r="G37" s="899"/>
      <c r="H37" s="900">
        <f t="shared" si="0"/>
        <v>0</v>
      </c>
      <c r="I37" s="901"/>
      <c r="J37" s="904">
        <v>8</v>
      </c>
      <c r="L37" s="899">
        <f t="shared" si="2"/>
        <v>0</v>
      </c>
      <c r="M37" s="899"/>
      <c r="N37" s="899"/>
      <c r="O37" s="899"/>
      <c r="P37" s="903">
        <f t="shared" si="3"/>
        <v>0</v>
      </c>
    </row>
    <row r="38" spans="1:16" ht="12.75">
      <c r="A38" s="5">
        <v>29</v>
      </c>
      <c r="B38" s="897" t="s">
        <v>212</v>
      </c>
      <c r="C38" s="836"/>
      <c r="D38" s="836" t="s">
        <v>1161</v>
      </c>
      <c r="E38" s="836"/>
      <c r="F38" s="898">
        <f t="shared" si="1"/>
        <v>0</v>
      </c>
      <c r="G38" s="899"/>
      <c r="H38" s="900">
        <f t="shared" si="0"/>
        <v>0</v>
      </c>
      <c r="I38" s="901"/>
      <c r="J38" s="904">
        <v>7</v>
      </c>
      <c r="L38" s="899">
        <f t="shared" si="2"/>
        <v>0</v>
      </c>
      <c r="M38" s="899"/>
      <c r="N38" s="899"/>
      <c r="O38" s="899"/>
      <c r="P38" s="903">
        <f t="shared" si="3"/>
        <v>0</v>
      </c>
    </row>
    <row r="39" spans="1:16" ht="12.75">
      <c r="A39" s="5">
        <v>30</v>
      </c>
      <c r="B39" s="897" t="s">
        <v>213</v>
      </c>
      <c r="C39" s="836"/>
      <c r="D39" s="836" t="s">
        <v>1161</v>
      </c>
      <c r="E39" s="836"/>
      <c r="F39" s="898">
        <f t="shared" si="1"/>
        <v>0</v>
      </c>
      <c r="G39" s="899"/>
      <c r="H39" s="900">
        <f t="shared" si="0"/>
        <v>0</v>
      </c>
      <c r="I39" s="901"/>
      <c r="J39" s="904">
        <v>6</v>
      </c>
      <c r="L39" s="899">
        <f t="shared" si="2"/>
        <v>0</v>
      </c>
      <c r="M39" s="899"/>
      <c r="N39" s="899"/>
      <c r="O39" s="899"/>
      <c r="P39" s="903">
        <f t="shared" si="3"/>
        <v>0</v>
      </c>
    </row>
    <row r="40" spans="1:16" ht="12.75">
      <c r="A40" s="5">
        <v>31</v>
      </c>
      <c r="B40" s="897" t="s">
        <v>750</v>
      </c>
      <c r="C40" s="836"/>
      <c r="D40" s="836" t="s">
        <v>1161</v>
      </c>
      <c r="E40" s="836"/>
      <c r="F40" s="898">
        <f t="shared" si="1"/>
        <v>0</v>
      </c>
      <c r="G40" s="899"/>
      <c r="H40" s="900">
        <f t="shared" si="0"/>
        <v>0</v>
      </c>
      <c r="I40" s="901"/>
      <c r="J40" s="904">
        <v>5</v>
      </c>
      <c r="L40" s="899">
        <f t="shared" si="2"/>
        <v>0</v>
      </c>
      <c r="M40" s="899"/>
      <c r="N40" s="899"/>
      <c r="O40" s="899"/>
      <c r="P40" s="903">
        <f t="shared" si="3"/>
        <v>0</v>
      </c>
    </row>
    <row r="41" spans="1:16" ht="12.75">
      <c r="A41" s="5">
        <v>32</v>
      </c>
      <c r="B41" s="897" t="s">
        <v>215</v>
      </c>
      <c r="C41" s="836"/>
      <c r="D41" s="836" t="s">
        <v>1161</v>
      </c>
      <c r="E41" s="836"/>
      <c r="F41" s="898">
        <f t="shared" si="1"/>
        <v>0</v>
      </c>
      <c r="G41" s="899"/>
      <c r="H41" s="900">
        <f t="shared" si="0"/>
        <v>0</v>
      </c>
      <c r="I41" s="901"/>
      <c r="J41" s="904">
        <v>4</v>
      </c>
      <c r="L41" s="899">
        <f t="shared" si="2"/>
        <v>0</v>
      </c>
      <c r="M41" s="899"/>
      <c r="N41" s="899"/>
      <c r="O41" s="899"/>
      <c r="P41" s="903">
        <f t="shared" si="3"/>
        <v>0</v>
      </c>
    </row>
    <row r="42" spans="1:16" ht="12.75">
      <c r="A42" s="5">
        <v>33</v>
      </c>
      <c r="B42" s="897" t="s">
        <v>216</v>
      </c>
      <c r="C42" s="836"/>
      <c r="D42" s="836" t="s">
        <v>1161</v>
      </c>
      <c r="E42" s="836"/>
      <c r="F42" s="898">
        <f t="shared" si="1"/>
        <v>0</v>
      </c>
      <c r="G42" s="899"/>
      <c r="H42" s="900">
        <f t="shared" si="0"/>
        <v>0</v>
      </c>
      <c r="I42" s="901"/>
      <c r="J42" s="904">
        <v>3</v>
      </c>
      <c r="L42" s="899">
        <f t="shared" si="2"/>
        <v>0</v>
      </c>
      <c r="M42" s="899"/>
      <c r="N42" s="899"/>
      <c r="O42" s="899"/>
      <c r="P42" s="903">
        <f t="shared" si="3"/>
        <v>0</v>
      </c>
    </row>
    <row r="43" spans="1:16" ht="12.75">
      <c r="A43" s="5">
        <v>34</v>
      </c>
      <c r="B43" s="897" t="s">
        <v>217</v>
      </c>
      <c r="C43" s="836"/>
      <c r="D43" s="836" t="s">
        <v>1161</v>
      </c>
      <c r="E43" s="836"/>
      <c r="F43" s="898">
        <f t="shared" si="1"/>
        <v>0</v>
      </c>
      <c r="G43" s="899"/>
      <c r="H43" s="900">
        <f t="shared" si="0"/>
        <v>0</v>
      </c>
      <c r="I43" s="901"/>
      <c r="J43" s="904">
        <v>2</v>
      </c>
      <c r="L43" s="899">
        <f t="shared" si="2"/>
        <v>0</v>
      </c>
      <c r="M43" s="899"/>
      <c r="N43" s="899"/>
      <c r="O43" s="899"/>
      <c r="P43" s="903">
        <f t="shared" si="3"/>
        <v>0</v>
      </c>
    </row>
    <row r="44" spans="1:16" ht="12.75">
      <c r="A44" s="5">
        <v>35</v>
      </c>
      <c r="B44" s="897" t="s">
        <v>751</v>
      </c>
      <c r="C44" s="836"/>
      <c r="D44" s="836" t="s">
        <v>1161</v>
      </c>
      <c r="E44" s="836"/>
      <c r="F44" s="898">
        <f t="shared" si="1"/>
        <v>0</v>
      </c>
      <c r="G44" s="899"/>
      <c r="H44" s="900">
        <f t="shared" si="0"/>
        <v>0</v>
      </c>
      <c r="I44" s="901"/>
      <c r="J44" s="904">
        <v>1</v>
      </c>
      <c r="L44" s="905">
        <f t="shared" si="2"/>
        <v>0</v>
      </c>
      <c r="M44" s="899"/>
      <c r="N44" s="899"/>
      <c r="O44" s="899"/>
      <c r="P44" s="906">
        <f t="shared" si="3"/>
        <v>0</v>
      </c>
    </row>
    <row r="45" spans="1:16" ht="12.75">
      <c r="A45" s="5">
        <v>36</v>
      </c>
      <c r="B45" s="897"/>
      <c r="C45" s="836"/>
      <c r="D45" s="836"/>
      <c r="E45" s="836"/>
      <c r="F45" s="899"/>
      <c r="G45" s="899"/>
      <c r="H45" s="901"/>
      <c r="I45" s="901"/>
      <c r="L45" s="899">
        <f>+SUM(L33:L44)</f>
        <v>0</v>
      </c>
      <c r="M45" s="899"/>
      <c r="N45" s="899"/>
      <c r="O45" s="899"/>
      <c r="P45" s="907">
        <f>+SUM(P33:P44)</f>
        <v>0</v>
      </c>
    </row>
    <row r="46" spans="1:16" ht="12.75">
      <c r="A46" s="5">
        <v>37</v>
      </c>
      <c r="B46" s="897"/>
      <c r="C46" s="836"/>
      <c r="D46" s="836"/>
      <c r="E46" s="836"/>
      <c r="F46" s="899"/>
      <c r="G46" s="899"/>
      <c r="H46" s="901"/>
      <c r="I46" s="901"/>
      <c r="L46" s="899"/>
      <c r="M46" s="899"/>
      <c r="N46" s="899"/>
      <c r="O46" s="899"/>
      <c r="P46" s="908"/>
    </row>
    <row r="47" spans="1:16" ht="12.75">
      <c r="A47" s="5">
        <v>38</v>
      </c>
      <c r="B47" s="897"/>
      <c r="C47" s="836"/>
      <c r="D47" s="836"/>
      <c r="E47" s="836"/>
      <c r="F47" s="899"/>
      <c r="G47" s="899"/>
      <c r="H47" s="901"/>
      <c r="I47" s="901"/>
      <c r="L47" s="909" t="s">
        <v>1163</v>
      </c>
      <c r="M47" s="899"/>
      <c r="N47" s="899"/>
      <c r="O47" s="899"/>
      <c r="P47" s="908"/>
    </row>
    <row r="48" spans="1:16" ht="12.75">
      <c r="A48" s="5">
        <v>39</v>
      </c>
      <c r="B48" s="897"/>
      <c r="C48" s="836"/>
      <c r="D48" s="836"/>
      <c r="E48" s="836"/>
      <c r="F48" s="899"/>
      <c r="G48" s="899"/>
      <c r="H48" s="901"/>
      <c r="I48" s="901"/>
      <c r="L48" s="909"/>
      <c r="M48" s="899"/>
      <c r="N48" s="899"/>
      <c r="O48" s="899"/>
      <c r="P48" s="908"/>
    </row>
    <row r="49" spans="1:16" ht="12.75">
      <c r="A49" s="5">
        <v>40</v>
      </c>
      <c r="B49" s="897" t="s">
        <v>1164</v>
      </c>
      <c r="C49" s="836"/>
      <c r="D49" s="836" t="s">
        <v>1165</v>
      </c>
      <c r="E49" s="836"/>
      <c r="F49" s="899">
        <f>+P45</f>
        <v>0</v>
      </c>
      <c r="G49" s="899"/>
      <c r="H49" s="900">
        <f>+N11</f>
        <v>0</v>
      </c>
      <c r="I49" s="901"/>
      <c r="J49" s="902">
        <v>12</v>
      </c>
      <c r="K49" s="836"/>
      <c r="L49" s="899">
        <f>+F49*H49*J49</f>
        <v>0</v>
      </c>
      <c r="M49" s="899"/>
      <c r="N49" s="899" t="s">
        <v>1154</v>
      </c>
      <c r="O49" s="899"/>
      <c r="P49" s="908">
        <f>+F49+L49</f>
        <v>0</v>
      </c>
    </row>
    <row r="50" spans="1:16" ht="12.75">
      <c r="A50" s="5">
        <v>41</v>
      </c>
      <c r="B50" s="897" t="s">
        <v>1164</v>
      </c>
      <c r="C50" s="836"/>
      <c r="D50" s="836" t="s">
        <v>1166</v>
      </c>
      <c r="E50" s="836"/>
      <c r="F50" s="874">
        <f>+P49</f>
        <v>0</v>
      </c>
      <c r="G50" s="874"/>
      <c r="H50" s="900">
        <f>+N12</f>
        <v>0</v>
      </c>
      <c r="I50" s="901"/>
      <c r="J50" s="902">
        <v>12</v>
      </c>
      <c r="K50" s="836"/>
      <c r="L50" s="899">
        <f t="shared" si="4" ref="L50:L53">+F50*H50*J50</f>
        <v>0</v>
      </c>
      <c r="M50" s="899"/>
      <c r="N50" s="899"/>
      <c r="O50" s="899"/>
      <c r="P50" s="908">
        <f t="shared" si="5" ref="P50:P53">+F50+L50</f>
        <v>0</v>
      </c>
    </row>
    <row r="51" spans="1:16" ht="12.75">
      <c r="A51" s="5">
        <v>42</v>
      </c>
      <c r="B51" s="897" t="s">
        <v>1164</v>
      </c>
      <c r="C51" s="836"/>
      <c r="D51" s="1" t="s">
        <v>1167</v>
      </c>
      <c r="E51" s="836"/>
      <c r="F51" s="874">
        <f t="shared" si="6" ref="F51:F53">+P50</f>
        <v>0</v>
      </c>
      <c r="G51" s="874"/>
      <c r="H51" s="900">
        <f>+N13</f>
        <v>0</v>
      </c>
      <c r="I51" s="901"/>
      <c r="J51" s="902">
        <v>12</v>
      </c>
      <c r="K51" s="836"/>
      <c r="L51" s="899">
        <f t="shared" si="4"/>
        <v>0</v>
      </c>
      <c r="M51" s="899"/>
      <c r="N51" s="899"/>
      <c r="O51" s="899"/>
      <c r="P51" s="908">
        <f t="shared" si="5"/>
        <v>0</v>
      </c>
    </row>
    <row r="52" spans="1:16" ht="12.75">
      <c r="A52" s="5">
        <v>43</v>
      </c>
      <c r="B52" s="897" t="s">
        <v>1164</v>
      </c>
      <c r="C52" s="836"/>
      <c r="D52" s="836" t="s">
        <v>1168</v>
      </c>
      <c r="E52" s="836"/>
      <c r="F52" s="874">
        <f t="shared" si="6"/>
        <v>0</v>
      </c>
      <c r="G52" s="874"/>
      <c r="H52" s="900">
        <f>+N14</f>
        <v>0</v>
      </c>
      <c r="I52" s="901"/>
      <c r="J52" s="902">
        <v>12</v>
      </c>
      <c r="K52" s="836"/>
      <c r="L52" s="899">
        <f t="shared" si="4"/>
        <v>0</v>
      </c>
      <c r="M52" s="899"/>
      <c r="N52" s="899"/>
      <c r="O52" s="899"/>
      <c r="P52" s="908">
        <f t="shared" si="5"/>
        <v>0</v>
      </c>
    </row>
    <row r="53" spans="1:16" ht="12.75">
      <c r="A53" s="5">
        <v>44</v>
      </c>
      <c r="B53" s="897" t="s">
        <v>1164</v>
      </c>
      <c r="C53" s="836"/>
      <c r="D53" s="836" t="s">
        <v>1169</v>
      </c>
      <c r="E53" s="836"/>
      <c r="F53" s="874">
        <f t="shared" si="6"/>
        <v>0</v>
      </c>
      <c r="G53" s="874"/>
      <c r="H53" s="900">
        <f>+N14</f>
        <v>0</v>
      </c>
      <c r="I53" s="901"/>
      <c r="J53" s="902">
        <v>12</v>
      </c>
      <c r="K53" s="836"/>
      <c r="L53" s="899">
        <f t="shared" si="4"/>
        <v>0</v>
      </c>
      <c r="M53" s="899"/>
      <c r="N53" s="899"/>
      <c r="O53" s="899"/>
      <c r="P53" s="908">
        <f t="shared" si="5"/>
        <v>0</v>
      </c>
    </row>
    <row r="54" spans="1:16" ht="12.75">
      <c r="A54" s="5">
        <v>45</v>
      </c>
      <c r="B54" s="897"/>
      <c r="C54" s="836"/>
      <c r="D54" s="836"/>
      <c r="E54" s="836"/>
      <c r="F54" s="874"/>
      <c r="G54" s="874"/>
      <c r="H54" s="901"/>
      <c r="I54" s="901"/>
      <c r="J54" s="836"/>
      <c r="K54" s="836"/>
      <c r="L54" s="899"/>
      <c r="M54" s="899"/>
      <c r="N54" s="899"/>
      <c r="O54" s="899"/>
      <c r="P54" s="908"/>
    </row>
    <row r="55" spans="1:16" ht="12.75">
      <c r="A55" s="5">
        <v>46</v>
      </c>
      <c r="B55" s="897"/>
      <c r="C55" s="836"/>
      <c r="D55" s="836"/>
      <c r="E55" s="836"/>
      <c r="F55" s="874"/>
      <c r="G55" s="874"/>
      <c r="H55" s="901"/>
      <c r="I55" s="901"/>
      <c r="J55" s="836"/>
      <c r="K55" s="836"/>
      <c r="L55" s="899"/>
      <c r="M55" s="899"/>
      <c r="N55" s="899"/>
      <c r="O55" s="899"/>
      <c r="P55" s="903"/>
    </row>
    <row r="56" spans="1:16" ht="12.75">
      <c r="A56" s="5">
        <v>47</v>
      </c>
      <c r="B56" s="910" t="s">
        <v>1170</v>
      </c>
      <c r="C56" s="911"/>
      <c r="D56" s="836"/>
      <c r="E56" s="836"/>
      <c r="F56" s="899"/>
      <c r="G56" s="899"/>
      <c r="H56" s="901"/>
      <c r="I56" s="901"/>
      <c r="J56" s="836"/>
      <c r="K56" s="836"/>
      <c r="L56" s="909" t="s">
        <v>1171</v>
      </c>
      <c r="M56" s="909"/>
      <c r="N56" s="899"/>
      <c r="O56" s="899"/>
      <c r="P56" s="903"/>
    </row>
    <row r="57" spans="1:18" ht="12.75">
      <c r="A57" s="5">
        <v>48</v>
      </c>
      <c r="B57" s="897" t="s">
        <v>207</v>
      </c>
      <c r="C57" s="836"/>
      <c r="D57" s="836" t="s">
        <v>1172</v>
      </c>
      <c r="E57" s="836"/>
      <c r="F57" s="874">
        <f>+P53*-1</f>
        <v>0</v>
      </c>
      <c r="G57" s="874"/>
      <c r="H57" s="900">
        <f>+$N$14</f>
        <v>0</v>
      </c>
      <c r="I57" s="901"/>
      <c r="J57" s="836"/>
      <c r="K57" s="836"/>
      <c r="L57" s="899"/>
      <c r="M57" s="899"/>
      <c r="N57" s="899">
        <f>+$N$71/12</f>
        <v>0</v>
      </c>
      <c r="O57" s="899"/>
      <c r="P57" s="903">
        <f>+F57*-1+L57-N57</f>
        <v>0</v>
      </c>
      <c r="Q57" s="874"/>
      <c r="R57" s="119"/>
    </row>
    <row r="58" spans="1:18" ht="12.75">
      <c r="A58" s="5">
        <v>49</v>
      </c>
      <c r="B58" s="897" t="s">
        <v>208</v>
      </c>
      <c r="C58" s="836"/>
      <c r="D58" s="836" t="s">
        <v>1172</v>
      </c>
      <c r="E58" s="836"/>
      <c r="F58" s="899">
        <f>+F57-($F$57/12)</f>
        <v>0</v>
      </c>
      <c r="G58" s="874"/>
      <c r="H58" s="900">
        <f t="shared" si="7" ref="H58:H68">+$N$14</f>
        <v>0</v>
      </c>
      <c r="I58" s="901"/>
      <c r="J58" s="836"/>
      <c r="K58" s="836"/>
      <c r="L58" s="899"/>
      <c r="M58" s="899"/>
      <c r="N58" s="899">
        <f t="shared" si="8" ref="N58:N68">+$N$71/12</f>
        <v>0</v>
      </c>
      <c r="O58" s="899"/>
      <c r="P58" s="903">
        <f t="shared" si="9" ref="P58:P68">+F58*-1+L58-N58</f>
        <v>0</v>
      </c>
      <c r="Q58" s="874"/>
      <c r="R58" s="119"/>
    </row>
    <row r="59" spans="1:18" ht="12.75">
      <c r="A59" s="5">
        <v>50</v>
      </c>
      <c r="B59" s="897" t="s">
        <v>748</v>
      </c>
      <c r="C59" s="836"/>
      <c r="D59" s="836" t="s">
        <v>1172</v>
      </c>
      <c r="E59" s="836"/>
      <c r="F59" s="899">
        <f t="shared" si="10" ref="F59:F68">+F58-($F$57/12)</f>
        <v>0</v>
      </c>
      <c r="G59" s="874"/>
      <c r="H59" s="900">
        <f t="shared" si="7"/>
        <v>0</v>
      </c>
      <c r="I59" s="901"/>
      <c r="J59" s="836"/>
      <c r="K59" s="836"/>
      <c r="L59" s="899"/>
      <c r="M59" s="899"/>
      <c r="N59" s="899">
        <f t="shared" si="8"/>
        <v>0</v>
      </c>
      <c r="O59" s="899"/>
      <c r="P59" s="903">
        <f t="shared" si="9"/>
        <v>0</v>
      </c>
      <c r="Q59" s="874"/>
      <c r="R59" s="119"/>
    </row>
    <row r="60" spans="1:18" ht="12.75">
      <c r="A60" s="5">
        <v>51</v>
      </c>
      <c r="B60" s="897" t="s">
        <v>210</v>
      </c>
      <c r="C60" s="836"/>
      <c r="D60" s="836" t="s">
        <v>1172</v>
      </c>
      <c r="E60" s="836"/>
      <c r="F60" s="899">
        <f t="shared" si="10"/>
        <v>0</v>
      </c>
      <c r="G60" s="874"/>
      <c r="H60" s="900">
        <f t="shared" si="7"/>
        <v>0</v>
      </c>
      <c r="I60" s="901"/>
      <c r="J60" s="836"/>
      <c r="K60" s="836"/>
      <c r="L60" s="899"/>
      <c r="M60" s="899"/>
      <c r="N60" s="899">
        <f t="shared" si="8"/>
        <v>0</v>
      </c>
      <c r="O60" s="899"/>
      <c r="P60" s="903">
        <f t="shared" si="9"/>
        <v>0</v>
      </c>
      <c r="Q60" s="874"/>
      <c r="R60" s="119"/>
    </row>
    <row r="61" spans="1:18" ht="12.75">
      <c r="A61" s="5">
        <v>52</v>
      </c>
      <c r="B61" s="897" t="s">
        <v>211</v>
      </c>
      <c r="C61" s="836"/>
      <c r="D61" s="836" t="s">
        <v>1172</v>
      </c>
      <c r="E61" s="836"/>
      <c r="F61" s="899">
        <f t="shared" si="10"/>
        <v>0</v>
      </c>
      <c r="G61" s="874"/>
      <c r="H61" s="900">
        <f t="shared" si="7"/>
        <v>0</v>
      </c>
      <c r="I61" s="901"/>
      <c r="J61" s="836"/>
      <c r="K61" s="836"/>
      <c r="L61" s="899"/>
      <c r="M61" s="899"/>
      <c r="N61" s="899">
        <f t="shared" si="8"/>
        <v>0</v>
      </c>
      <c r="O61" s="899"/>
      <c r="P61" s="903">
        <f t="shared" si="9"/>
        <v>0</v>
      </c>
      <c r="Q61" s="874"/>
      <c r="R61" s="119"/>
    </row>
    <row r="62" spans="1:18" ht="12.75">
      <c r="A62" s="5">
        <v>53</v>
      </c>
      <c r="B62" s="897" t="s">
        <v>212</v>
      </c>
      <c r="C62" s="836"/>
      <c r="D62" s="836" t="s">
        <v>1172</v>
      </c>
      <c r="E62" s="836"/>
      <c r="F62" s="899">
        <f t="shared" si="10"/>
        <v>0</v>
      </c>
      <c r="G62" s="874"/>
      <c r="H62" s="900">
        <f t="shared" si="7"/>
        <v>0</v>
      </c>
      <c r="I62" s="901"/>
      <c r="J62" s="836"/>
      <c r="K62" s="836"/>
      <c r="L62" s="899"/>
      <c r="M62" s="899"/>
      <c r="N62" s="899">
        <f t="shared" si="8"/>
        <v>0</v>
      </c>
      <c r="O62" s="899"/>
      <c r="P62" s="903">
        <f t="shared" si="9"/>
        <v>0</v>
      </c>
      <c r="Q62" s="874"/>
      <c r="R62" s="119"/>
    </row>
    <row r="63" spans="1:18" ht="12.75">
      <c r="A63" s="5">
        <v>54</v>
      </c>
      <c r="B63" s="897" t="s">
        <v>213</v>
      </c>
      <c r="C63" s="836"/>
      <c r="D63" s="836" t="s">
        <v>1172</v>
      </c>
      <c r="E63" s="836"/>
      <c r="F63" s="899">
        <f t="shared" si="10"/>
        <v>0</v>
      </c>
      <c r="G63" s="874"/>
      <c r="H63" s="900">
        <f t="shared" si="7"/>
        <v>0</v>
      </c>
      <c r="I63" s="901"/>
      <c r="J63" s="836"/>
      <c r="K63" s="836"/>
      <c r="L63" s="899"/>
      <c r="M63" s="899"/>
      <c r="N63" s="899">
        <f t="shared" si="8"/>
        <v>0</v>
      </c>
      <c r="O63" s="899"/>
      <c r="P63" s="903">
        <f t="shared" si="9"/>
        <v>0</v>
      </c>
      <c r="Q63" s="874"/>
      <c r="R63" s="119"/>
    </row>
    <row r="64" spans="1:18" ht="12.75">
      <c r="A64" s="5">
        <v>55</v>
      </c>
      <c r="B64" s="897" t="s">
        <v>750</v>
      </c>
      <c r="C64" s="836"/>
      <c r="D64" s="836" t="s">
        <v>1172</v>
      </c>
      <c r="E64" s="836"/>
      <c r="F64" s="899">
        <f t="shared" si="10"/>
        <v>0</v>
      </c>
      <c r="G64" s="874"/>
      <c r="H64" s="900">
        <f t="shared" si="7"/>
        <v>0</v>
      </c>
      <c r="I64" s="901"/>
      <c r="J64" s="836"/>
      <c r="K64" s="836"/>
      <c r="L64" s="899"/>
      <c r="M64" s="899"/>
      <c r="N64" s="899">
        <f t="shared" si="8"/>
        <v>0</v>
      </c>
      <c r="O64" s="899"/>
      <c r="P64" s="903">
        <f t="shared" si="9"/>
        <v>0</v>
      </c>
      <c r="Q64" s="874"/>
      <c r="R64" s="119"/>
    </row>
    <row r="65" spans="1:18" ht="12.75">
      <c r="A65" s="5">
        <v>56</v>
      </c>
      <c r="B65" s="897" t="s">
        <v>215</v>
      </c>
      <c r="C65" s="836"/>
      <c r="D65" s="836" t="s">
        <v>1172</v>
      </c>
      <c r="E65" s="836"/>
      <c r="F65" s="899">
        <f t="shared" si="10"/>
        <v>0</v>
      </c>
      <c r="G65" s="874"/>
      <c r="H65" s="900">
        <f t="shared" si="7"/>
        <v>0</v>
      </c>
      <c r="I65" s="901"/>
      <c r="J65" s="836"/>
      <c r="K65" s="836"/>
      <c r="L65" s="899"/>
      <c r="M65" s="899"/>
      <c r="N65" s="899">
        <f t="shared" si="8"/>
        <v>0</v>
      </c>
      <c r="O65" s="899"/>
      <c r="P65" s="903">
        <f t="shared" si="9"/>
        <v>0</v>
      </c>
      <c r="Q65" s="874"/>
      <c r="R65" s="119"/>
    </row>
    <row r="66" spans="1:18" ht="12.75">
      <c r="A66" s="5">
        <v>57</v>
      </c>
      <c r="B66" s="897" t="s">
        <v>216</v>
      </c>
      <c r="C66" s="836"/>
      <c r="D66" s="836" t="s">
        <v>1172</v>
      </c>
      <c r="E66" s="836"/>
      <c r="F66" s="899">
        <f t="shared" si="10"/>
        <v>0</v>
      </c>
      <c r="G66" s="874"/>
      <c r="H66" s="900">
        <f t="shared" si="7"/>
        <v>0</v>
      </c>
      <c r="I66" s="901"/>
      <c r="J66" s="836"/>
      <c r="K66" s="836"/>
      <c r="L66" s="899"/>
      <c r="M66" s="899"/>
      <c r="N66" s="899">
        <f t="shared" si="8"/>
        <v>0</v>
      </c>
      <c r="O66" s="899"/>
      <c r="P66" s="903">
        <f t="shared" si="9"/>
        <v>0</v>
      </c>
      <c r="Q66" s="874"/>
      <c r="R66" s="119"/>
    </row>
    <row r="67" spans="1:18" ht="12.75">
      <c r="A67" s="5">
        <v>58</v>
      </c>
      <c r="B67" s="897" t="s">
        <v>217</v>
      </c>
      <c r="C67" s="836"/>
      <c r="D67" s="836" t="s">
        <v>1172</v>
      </c>
      <c r="E67" s="836"/>
      <c r="F67" s="899">
        <f t="shared" si="10"/>
        <v>0</v>
      </c>
      <c r="G67" s="874"/>
      <c r="H67" s="900">
        <f t="shared" si="7"/>
        <v>0</v>
      </c>
      <c r="I67" s="901"/>
      <c r="J67" s="836"/>
      <c r="K67" s="836"/>
      <c r="L67" s="899"/>
      <c r="M67" s="899"/>
      <c r="N67" s="899">
        <f t="shared" si="8"/>
        <v>0</v>
      </c>
      <c r="O67" s="899"/>
      <c r="P67" s="903">
        <f t="shared" si="9"/>
        <v>0</v>
      </c>
      <c r="Q67" s="874"/>
      <c r="R67" s="119"/>
    </row>
    <row r="68" spans="1:18" ht="12.75">
      <c r="A68" s="5">
        <v>59</v>
      </c>
      <c r="B68" s="897" t="s">
        <v>751</v>
      </c>
      <c r="C68" s="836"/>
      <c r="D68" s="836" t="s">
        <v>1172</v>
      </c>
      <c r="E68" s="836"/>
      <c r="F68" s="899">
        <f t="shared" si="10"/>
        <v>0</v>
      </c>
      <c r="G68" s="874"/>
      <c r="H68" s="900">
        <f t="shared" si="7"/>
        <v>0</v>
      </c>
      <c r="I68" s="901"/>
      <c r="J68" s="836"/>
      <c r="K68" s="836"/>
      <c r="L68" s="905"/>
      <c r="M68" s="899"/>
      <c r="N68" s="899">
        <f t="shared" si="8"/>
        <v>0</v>
      </c>
      <c r="O68" s="899"/>
      <c r="P68" s="903">
        <f t="shared" si="9"/>
        <v>0</v>
      </c>
      <c r="Q68" s="874"/>
      <c r="R68" s="119"/>
    </row>
    <row r="69" spans="1:18" ht="24" customHeight="1">
      <c r="A69" s="5">
        <v>60</v>
      </c>
      <c r="B69" s="897"/>
      <c r="C69" s="836"/>
      <c r="D69" s="836"/>
      <c r="E69" s="836"/>
      <c r="F69" s="874"/>
      <c r="G69" s="874"/>
      <c r="H69" s="901"/>
      <c r="I69" s="901"/>
      <c r="J69" s="836"/>
      <c r="K69" s="836"/>
      <c r="L69" s="899">
        <f>+SUM(L57:L68)</f>
        <v>0</v>
      </c>
      <c r="M69" s="899"/>
      <c r="N69" s="899"/>
      <c r="O69" s="899"/>
      <c r="P69" s="903"/>
      <c r="Q69" s="874"/>
      <c r="R69" s="119"/>
    </row>
    <row r="70" spans="1:16" ht="12.75">
      <c r="A70" s="5">
        <v>61</v>
      </c>
      <c r="B70" s="354"/>
      <c r="P70" s="716"/>
    </row>
    <row r="71" spans="1:16" ht="12.75">
      <c r="A71" s="5">
        <v>62</v>
      </c>
      <c r="B71" s="897" t="s">
        <v>1173</v>
      </c>
      <c r="C71" s="836"/>
      <c r="F71" s="1" t="s">
        <v>1174</v>
      </c>
      <c r="N71" s="711">
        <f>+F57*-1+L69</f>
        <v>0</v>
      </c>
      <c r="P71" s="716"/>
    </row>
    <row r="72" spans="1:16" ht="12.75">
      <c r="A72" s="5">
        <v>63</v>
      </c>
      <c r="B72" s="897" t="s">
        <v>1175</v>
      </c>
      <c r="C72" s="836"/>
      <c r="F72" s="1" t="s">
        <v>1176</v>
      </c>
      <c r="N72" s="711"/>
      <c r="P72" s="716"/>
    </row>
    <row r="73" spans="1:16" ht="12.75">
      <c r="A73" s="5">
        <v>64</v>
      </c>
      <c r="B73" s="912" t="s">
        <v>1177</v>
      </c>
      <c r="C73" s="913"/>
      <c r="D73" s="170"/>
      <c r="E73" s="170"/>
      <c r="F73" s="170" t="s">
        <v>1178</v>
      </c>
      <c r="G73" s="170"/>
      <c r="H73" s="170"/>
      <c r="I73" s="170"/>
      <c r="J73" s="170"/>
      <c r="K73" s="170"/>
      <c r="L73" s="170"/>
      <c r="M73" s="170"/>
      <c r="N73" s="724">
        <f>+N71-N72</f>
        <v>0</v>
      </c>
      <c r="O73" s="170"/>
      <c r="P73" s="171"/>
    </row>
    <row r="74" spans="1:1" ht="12.75">
      <c r="A74" s="5">
        <v>65</v>
      </c>
    </row>
    <row r="75" spans="1:16" ht="12.75">
      <c r="A75" s="5">
        <v>66</v>
      </c>
      <c r="P75" s="209" t="s">
        <v>1179</v>
      </c>
    </row>
    <row r="76" spans="1:14" ht="12.75">
      <c r="A76" s="5">
        <v>67</v>
      </c>
      <c r="B76" s="838" t="s">
        <v>1180</v>
      </c>
      <c r="C76" s="838"/>
      <c r="D76" s="838"/>
      <c r="E76" s="838"/>
      <c r="F76" s="838"/>
      <c r="G76" s="838"/>
      <c r="H76" s="838"/>
      <c r="I76" s="838"/>
      <c r="J76" s="838"/>
      <c r="K76" s="838"/>
      <c r="L76" s="838"/>
      <c r="M76" s="838"/>
      <c r="N76" s="838"/>
    </row>
    <row r="77" spans="1:14" ht="12.75">
      <c r="A77" s="5">
        <v>68</v>
      </c>
      <c r="B77" s="125" t="s">
        <v>1181</v>
      </c>
      <c r="C77" s="125"/>
      <c r="D77" s="125"/>
      <c r="E77" s="125"/>
      <c r="F77" s="125"/>
      <c r="G77" s="125"/>
      <c r="H77" s="125"/>
      <c r="I77" s="125"/>
      <c r="J77" s="125"/>
      <c r="K77" s="125"/>
      <c r="L77" s="125"/>
      <c r="M77" s="125"/>
      <c r="N77" s="125"/>
    </row>
    <row r="78" spans="1:14" ht="12.75">
      <c r="A78" s="5">
        <v>69</v>
      </c>
      <c r="B78" s="838"/>
      <c r="C78" s="838"/>
      <c r="D78" s="838"/>
      <c r="E78" s="838"/>
      <c r="F78" s="838"/>
      <c r="G78" s="838"/>
      <c r="H78" s="838"/>
      <c r="I78" s="838"/>
      <c r="J78" s="838"/>
      <c r="K78" s="838"/>
      <c r="L78" s="838"/>
      <c r="M78" s="838"/>
      <c r="N78" s="838"/>
    </row>
    <row r="79" spans="1:14" ht="12.75">
      <c r="A79" s="5">
        <v>70</v>
      </c>
      <c r="B79" s="836"/>
      <c r="C79" s="836"/>
      <c r="H79" s="914"/>
      <c r="I79" s="914"/>
      <c r="N79" s="711"/>
    </row>
    <row r="80" spans="1:16" ht="12.75">
      <c r="A80" s="5">
        <v>71</v>
      </c>
      <c r="B80" s="887" t="s">
        <v>1182</v>
      </c>
      <c r="C80" s="888"/>
      <c r="D80" s="889"/>
      <c r="E80" s="889"/>
      <c r="F80" s="889"/>
      <c r="G80" s="889"/>
      <c r="H80" s="890"/>
      <c r="I80" s="890"/>
      <c r="J80" s="890"/>
      <c r="K80" s="890"/>
      <c r="L80" s="891"/>
      <c r="M80" s="891"/>
      <c r="N80" s="889"/>
      <c r="O80" s="889"/>
      <c r="P80" s="892"/>
    </row>
    <row r="81" spans="1:16" ht="12.75">
      <c r="A81" s="5">
        <v>72</v>
      </c>
      <c r="B81" s="893"/>
      <c r="C81" s="894"/>
      <c r="D81" s="837"/>
      <c r="E81" s="837"/>
      <c r="F81" s="837"/>
      <c r="G81" s="837"/>
      <c r="H81" s="836"/>
      <c r="I81" s="836"/>
      <c r="J81" s="836"/>
      <c r="K81" s="836"/>
      <c r="L81" s="838" t="s">
        <v>1160</v>
      </c>
      <c r="M81" s="838"/>
      <c r="N81" s="837"/>
      <c r="O81" s="837"/>
      <c r="P81" s="895"/>
    </row>
    <row r="82" spans="1:16" ht="12.75">
      <c r="A82" s="5">
        <v>73</v>
      </c>
      <c r="B82" s="896"/>
      <c r="C82" s="894"/>
      <c r="D82" s="837"/>
      <c r="E82" s="837"/>
      <c r="F82" s="837"/>
      <c r="G82" s="837"/>
      <c r="H82" s="836"/>
      <c r="I82" s="836"/>
      <c r="J82" s="836"/>
      <c r="K82" s="836"/>
      <c r="L82" s="838"/>
      <c r="M82" s="838"/>
      <c r="N82" s="837"/>
      <c r="O82" s="837"/>
      <c r="P82" s="895"/>
    </row>
    <row r="83" spans="1:16" ht="12.75">
      <c r="A83" s="5">
        <v>74</v>
      </c>
      <c r="B83" s="897" t="s">
        <v>207</v>
      </c>
      <c r="C83" s="836"/>
      <c r="D83" s="836" t="s">
        <v>1165</v>
      </c>
      <c r="E83" s="836"/>
      <c r="F83" s="898">
        <f>+$L$11/12</f>
        <v>0</v>
      </c>
      <c r="G83" s="899"/>
      <c r="H83" s="900">
        <f>+$N$11</f>
        <v>0</v>
      </c>
      <c r="I83" s="901"/>
      <c r="J83" s="902">
        <v>12</v>
      </c>
      <c r="K83" s="836"/>
      <c r="L83" s="899">
        <f>+F83*H83*J83*-1</f>
        <v>0</v>
      </c>
      <c r="M83" s="899"/>
      <c r="N83" s="899"/>
      <c r="O83" s="899"/>
      <c r="P83" s="903">
        <f>+F83*-1+L83</f>
        <v>0</v>
      </c>
    </row>
    <row r="84" spans="1:16" ht="12.75">
      <c r="A84" s="5">
        <v>75</v>
      </c>
      <c r="B84" s="897" t="s">
        <v>208</v>
      </c>
      <c r="C84" s="836"/>
      <c r="D84" s="836" t="s">
        <v>1165</v>
      </c>
      <c r="E84" s="836"/>
      <c r="F84" s="898">
        <f t="shared" si="11" ref="F84:F94">+$L$11/12</f>
        <v>0</v>
      </c>
      <c r="G84" s="899"/>
      <c r="H84" s="900">
        <f t="shared" si="12" ref="H84:H94">+$N$11</f>
        <v>0</v>
      </c>
      <c r="I84" s="901"/>
      <c r="J84" s="904">
        <v>11</v>
      </c>
      <c r="L84" s="899">
        <f t="shared" si="13" ref="L84:L94">+F84*H84*J84*-1</f>
        <v>0</v>
      </c>
      <c r="M84" s="899"/>
      <c r="N84" s="899"/>
      <c r="O84" s="899"/>
      <c r="P84" s="903">
        <f t="shared" si="14" ref="P84:P94">+F84*-1+L84</f>
        <v>0</v>
      </c>
    </row>
    <row r="85" spans="1:16" ht="12.75">
      <c r="A85" s="5">
        <v>76</v>
      </c>
      <c r="B85" s="897" t="s">
        <v>748</v>
      </c>
      <c r="C85" s="836"/>
      <c r="D85" s="836" t="s">
        <v>1165</v>
      </c>
      <c r="E85" s="836"/>
      <c r="F85" s="898">
        <f t="shared" si="11"/>
        <v>0</v>
      </c>
      <c r="G85" s="899"/>
      <c r="H85" s="900">
        <f t="shared" si="12"/>
        <v>0</v>
      </c>
      <c r="I85" s="901"/>
      <c r="J85" s="904">
        <v>10</v>
      </c>
      <c r="L85" s="899">
        <f t="shared" si="13"/>
        <v>0</v>
      </c>
      <c r="M85" s="899"/>
      <c r="N85" s="899"/>
      <c r="O85" s="899"/>
      <c r="P85" s="903">
        <f t="shared" si="14"/>
        <v>0</v>
      </c>
    </row>
    <row r="86" spans="1:16" ht="12.75">
      <c r="A86" s="5">
        <v>77</v>
      </c>
      <c r="B86" s="897" t="s">
        <v>210</v>
      </c>
      <c r="C86" s="836"/>
      <c r="D86" s="836" t="s">
        <v>1165</v>
      </c>
      <c r="E86" s="836"/>
      <c r="F86" s="898">
        <f t="shared" si="11"/>
        <v>0</v>
      </c>
      <c r="G86" s="899"/>
      <c r="H86" s="900">
        <f t="shared" si="12"/>
        <v>0</v>
      </c>
      <c r="I86" s="901"/>
      <c r="J86" s="904">
        <v>9</v>
      </c>
      <c r="L86" s="899">
        <f t="shared" si="13"/>
        <v>0</v>
      </c>
      <c r="M86" s="899"/>
      <c r="N86" s="899"/>
      <c r="O86" s="899"/>
      <c r="P86" s="903">
        <f t="shared" si="14"/>
        <v>0</v>
      </c>
    </row>
    <row r="87" spans="1:16" ht="12.75">
      <c r="A87" s="5">
        <v>78</v>
      </c>
      <c r="B87" s="897" t="s">
        <v>211</v>
      </c>
      <c r="C87" s="836"/>
      <c r="D87" s="836" t="s">
        <v>1165</v>
      </c>
      <c r="E87" s="836"/>
      <c r="F87" s="898">
        <f t="shared" si="11"/>
        <v>0</v>
      </c>
      <c r="G87" s="899"/>
      <c r="H87" s="900">
        <f t="shared" si="12"/>
        <v>0</v>
      </c>
      <c r="I87" s="901"/>
      <c r="J87" s="904">
        <v>8</v>
      </c>
      <c r="L87" s="899">
        <f t="shared" si="13"/>
        <v>0</v>
      </c>
      <c r="M87" s="899"/>
      <c r="N87" s="899"/>
      <c r="O87" s="899"/>
      <c r="P87" s="903">
        <f t="shared" si="14"/>
        <v>0</v>
      </c>
    </row>
    <row r="88" spans="1:16" ht="12.75">
      <c r="A88" s="5">
        <v>79</v>
      </c>
      <c r="B88" s="897" t="s">
        <v>212</v>
      </c>
      <c r="C88" s="836"/>
      <c r="D88" s="836" t="s">
        <v>1165</v>
      </c>
      <c r="E88" s="836"/>
      <c r="F88" s="898">
        <f t="shared" si="11"/>
        <v>0</v>
      </c>
      <c r="G88" s="899"/>
      <c r="H88" s="900">
        <f t="shared" si="12"/>
        <v>0</v>
      </c>
      <c r="I88" s="901"/>
      <c r="J88" s="904">
        <v>7</v>
      </c>
      <c r="L88" s="899">
        <f t="shared" si="13"/>
        <v>0</v>
      </c>
      <c r="M88" s="899"/>
      <c r="N88" s="899"/>
      <c r="O88" s="899"/>
      <c r="P88" s="903">
        <f t="shared" si="14"/>
        <v>0</v>
      </c>
    </row>
    <row r="89" spans="1:16" ht="12.75">
      <c r="A89" s="5">
        <v>80</v>
      </c>
      <c r="B89" s="897" t="s">
        <v>213</v>
      </c>
      <c r="C89" s="836"/>
      <c r="D89" s="836" t="s">
        <v>1165</v>
      </c>
      <c r="E89" s="836"/>
      <c r="F89" s="898">
        <f t="shared" si="11"/>
        <v>0</v>
      </c>
      <c r="G89" s="899"/>
      <c r="H89" s="900">
        <f t="shared" si="12"/>
        <v>0</v>
      </c>
      <c r="I89" s="901"/>
      <c r="J89" s="904">
        <v>6</v>
      </c>
      <c r="L89" s="899">
        <f t="shared" si="13"/>
        <v>0</v>
      </c>
      <c r="M89" s="899"/>
      <c r="N89" s="899"/>
      <c r="O89" s="899"/>
      <c r="P89" s="903">
        <f t="shared" si="14"/>
        <v>0</v>
      </c>
    </row>
    <row r="90" spans="1:16" ht="12.75">
      <c r="A90" s="5">
        <v>81</v>
      </c>
      <c r="B90" s="897" t="s">
        <v>750</v>
      </c>
      <c r="C90" s="836"/>
      <c r="D90" s="836" t="s">
        <v>1165</v>
      </c>
      <c r="E90" s="836"/>
      <c r="F90" s="898">
        <f t="shared" si="11"/>
        <v>0</v>
      </c>
      <c r="G90" s="899"/>
      <c r="H90" s="900">
        <f t="shared" si="12"/>
        <v>0</v>
      </c>
      <c r="I90" s="901"/>
      <c r="J90" s="904">
        <v>5</v>
      </c>
      <c r="L90" s="899">
        <f t="shared" si="13"/>
        <v>0</v>
      </c>
      <c r="M90" s="899"/>
      <c r="N90" s="899"/>
      <c r="O90" s="899"/>
      <c r="P90" s="903">
        <f t="shared" si="14"/>
        <v>0</v>
      </c>
    </row>
    <row r="91" spans="1:16" ht="12.75">
      <c r="A91" s="5">
        <v>82</v>
      </c>
      <c r="B91" s="897" t="s">
        <v>215</v>
      </c>
      <c r="C91" s="836"/>
      <c r="D91" s="836" t="s">
        <v>1165</v>
      </c>
      <c r="E91" s="836"/>
      <c r="F91" s="898">
        <f t="shared" si="11"/>
        <v>0</v>
      </c>
      <c r="G91" s="899"/>
      <c r="H91" s="900">
        <f t="shared" si="12"/>
        <v>0</v>
      </c>
      <c r="I91" s="901"/>
      <c r="J91" s="904">
        <v>4</v>
      </c>
      <c r="L91" s="899">
        <f t="shared" si="13"/>
        <v>0</v>
      </c>
      <c r="M91" s="899"/>
      <c r="N91" s="899"/>
      <c r="O91" s="899"/>
      <c r="P91" s="903">
        <f t="shared" si="14"/>
        <v>0</v>
      </c>
    </row>
    <row r="92" spans="1:16" ht="12.75">
      <c r="A92" s="5">
        <v>83</v>
      </c>
      <c r="B92" s="897" t="s">
        <v>216</v>
      </c>
      <c r="C92" s="836"/>
      <c r="D92" s="836" t="s">
        <v>1165</v>
      </c>
      <c r="E92" s="836"/>
      <c r="F92" s="898">
        <f t="shared" si="11"/>
        <v>0</v>
      </c>
      <c r="G92" s="899"/>
      <c r="H92" s="900">
        <f t="shared" si="12"/>
        <v>0</v>
      </c>
      <c r="I92" s="901"/>
      <c r="J92" s="904">
        <v>3</v>
      </c>
      <c r="L92" s="899">
        <f t="shared" si="13"/>
        <v>0</v>
      </c>
      <c r="M92" s="899"/>
      <c r="N92" s="899"/>
      <c r="O92" s="899"/>
      <c r="P92" s="903">
        <f t="shared" si="14"/>
        <v>0</v>
      </c>
    </row>
    <row r="93" spans="1:16" ht="12.75">
      <c r="A93" s="5">
        <v>84</v>
      </c>
      <c r="B93" s="897" t="s">
        <v>217</v>
      </c>
      <c r="C93" s="836"/>
      <c r="D93" s="836" t="s">
        <v>1165</v>
      </c>
      <c r="E93" s="836"/>
      <c r="F93" s="898">
        <f t="shared" si="11"/>
        <v>0</v>
      </c>
      <c r="G93" s="899"/>
      <c r="H93" s="900">
        <f t="shared" si="12"/>
        <v>0</v>
      </c>
      <c r="I93" s="901"/>
      <c r="J93" s="904">
        <v>2</v>
      </c>
      <c r="L93" s="899">
        <f t="shared" si="13"/>
        <v>0</v>
      </c>
      <c r="M93" s="899"/>
      <c r="N93" s="899"/>
      <c r="O93" s="899"/>
      <c r="P93" s="903">
        <f t="shared" si="14"/>
        <v>0</v>
      </c>
    </row>
    <row r="94" spans="1:16" ht="15">
      <c r="A94" s="5">
        <v>85</v>
      </c>
      <c r="B94" s="897" t="s">
        <v>751</v>
      </c>
      <c r="C94" s="836"/>
      <c r="D94" s="836" t="s">
        <v>1165</v>
      </c>
      <c r="E94" s="836"/>
      <c r="F94" s="898">
        <f t="shared" si="11"/>
        <v>0</v>
      </c>
      <c r="G94" s="899"/>
      <c r="H94" s="900">
        <f t="shared" si="12"/>
        <v>0</v>
      </c>
      <c r="I94" s="901"/>
      <c r="J94" s="904">
        <v>1</v>
      </c>
      <c r="L94" s="905">
        <f t="shared" si="13"/>
        <v>0</v>
      </c>
      <c r="M94" s="899"/>
      <c r="N94" s="899"/>
      <c r="O94" s="899"/>
      <c r="P94" s="915">
        <f t="shared" si="14"/>
        <v>0</v>
      </c>
    </row>
    <row r="95" spans="1:16" ht="12.75">
      <c r="A95" s="5">
        <v>86</v>
      </c>
      <c r="B95" s="897"/>
      <c r="C95" s="836"/>
      <c r="D95" s="836"/>
      <c r="E95" s="836"/>
      <c r="F95" s="899"/>
      <c r="G95" s="899"/>
      <c r="H95" s="901"/>
      <c r="I95" s="901"/>
      <c r="L95" s="899">
        <f>SUM(L83:L94)</f>
        <v>0</v>
      </c>
      <c r="M95" s="899"/>
      <c r="N95" s="899"/>
      <c r="O95" s="899"/>
      <c r="P95" s="907">
        <f>SUM(P83:P94)</f>
        <v>0</v>
      </c>
    </row>
    <row r="96" spans="1:16" ht="12.75">
      <c r="A96" s="5">
        <v>87</v>
      </c>
      <c r="B96" s="897"/>
      <c r="C96" s="836"/>
      <c r="D96" s="836"/>
      <c r="E96" s="836"/>
      <c r="F96" s="899"/>
      <c r="G96" s="899"/>
      <c r="H96" s="901"/>
      <c r="I96" s="901"/>
      <c r="L96" s="899"/>
      <c r="M96" s="899"/>
      <c r="N96" s="899"/>
      <c r="O96" s="899"/>
      <c r="P96" s="908"/>
    </row>
    <row r="97" spans="1:16" ht="12.75">
      <c r="A97" s="5">
        <v>88</v>
      </c>
      <c r="B97" s="897"/>
      <c r="C97" s="836"/>
      <c r="D97" s="836"/>
      <c r="E97" s="836"/>
      <c r="F97" s="899"/>
      <c r="G97" s="899"/>
      <c r="H97" s="901"/>
      <c r="I97" s="901"/>
      <c r="L97" s="909" t="s">
        <v>1163</v>
      </c>
      <c r="M97" s="899"/>
      <c r="N97" s="899"/>
      <c r="O97" s="899"/>
      <c r="P97" s="908"/>
    </row>
    <row r="98" spans="1:16" ht="12.75">
      <c r="A98" s="5">
        <v>89</v>
      </c>
      <c r="B98" s="897"/>
      <c r="C98" s="836"/>
      <c r="D98" s="836"/>
      <c r="E98" s="836"/>
      <c r="F98" s="899"/>
      <c r="G98" s="899"/>
      <c r="H98" s="901"/>
      <c r="I98" s="901"/>
      <c r="L98" s="909"/>
      <c r="M98" s="899"/>
      <c r="N98" s="899"/>
      <c r="O98" s="899"/>
      <c r="P98" s="908"/>
    </row>
    <row r="99" spans="1:16" ht="12.75">
      <c r="A99" s="5">
        <v>90</v>
      </c>
      <c r="B99" s="897" t="s">
        <v>1164</v>
      </c>
      <c r="C99" s="836"/>
      <c r="D99" s="836" t="s">
        <v>1166</v>
      </c>
      <c r="E99" s="836"/>
      <c r="F99" s="874">
        <f>+P95</f>
        <v>0</v>
      </c>
      <c r="G99" s="874"/>
      <c r="H99" s="900">
        <f>+N12</f>
        <v>0</v>
      </c>
      <c r="I99" s="901"/>
      <c r="J99" s="902">
        <v>12</v>
      </c>
      <c r="K99" s="836"/>
      <c r="L99" s="899">
        <f>+F99*H99*J99</f>
        <v>0</v>
      </c>
      <c r="M99" s="899"/>
      <c r="N99" s="899"/>
      <c r="O99" s="899"/>
      <c r="P99" s="908">
        <f>+F99+L99</f>
        <v>0</v>
      </c>
    </row>
    <row r="100" spans="1:16" ht="12.75">
      <c r="A100" s="5">
        <v>91</v>
      </c>
      <c r="B100" s="897" t="s">
        <v>1164</v>
      </c>
      <c r="C100" s="836"/>
      <c r="D100" s="836" t="s">
        <v>1167</v>
      </c>
      <c r="E100" s="836"/>
      <c r="F100" s="874">
        <f>+P99</f>
        <v>0</v>
      </c>
      <c r="G100" s="874"/>
      <c r="H100" s="900">
        <f>+N13</f>
        <v>0</v>
      </c>
      <c r="I100" s="901"/>
      <c r="J100" s="902">
        <v>12</v>
      </c>
      <c r="K100" s="836"/>
      <c r="L100" s="899">
        <f t="shared" si="15" ref="L100:L102">+F100*H100*J100</f>
        <v>0</v>
      </c>
      <c r="M100" s="899"/>
      <c r="N100" s="899"/>
      <c r="O100" s="899"/>
      <c r="P100" s="908"/>
    </row>
    <row r="101" spans="1:16" ht="12.75">
      <c r="A101" s="5">
        <v>92</v>
      </c>
      <c r="B101" s="897" t="s">
        <v>1164</v>
      </c>
      <c r="C101" s="836"/>
      <c r="D101" s="836" t="s">
        <v>1168</v>
      </c>
      <c r="E101" s="836"/>
      <c r="F101" s="874">
        <f>+P100</f>
        <v>0</v>
      </c>
      <c r="G101" s="874"/>
      <c r="H101" s="900">
        <f>+N14</f>
        <v>0</v>
      </c>
      <c r="I101" s="901"/>
      <c r="J101" s="902">
        <v>12</v>
      </c>
      <c r="K101" s="836"/>
      <c r="L101" s="899">
        <f t="shared" si="15"/>
        <v>0</v>
      </c>
      <c r="M101" s="899"/>
      <c r="N101" s="899"/>
      <c r="O101" s="899"/>
      <c r="P101" s="908"/>
    </row>
    <row r="102" spans="1:16" ht="12.75">
      <c r="A102" s="5">
        <v>93</v>
      </c>
      <c r="B102" s="897" t="s">
        <v>1164</v>
      </c>
      <c r="C102" s="836"/>
      <c r="D102" s="836" t="s">
        <v>1169</v>
      </c>
      <c r="E102" s="836"/>
      <c r="F102" s="874">
        <f>+P101</f>
        <v>0</v>
      </c>
      <c r="G102" s="874"/>
      <c r="H102" s="900">
        <f>+N14</f>
        <v>0</v>
      </c>
      <c r="I102" s="901"/>
      <c r="J102" s="902">
        <v>12</v>
      </c>
      <c r="K102" s="836"/>
      <c r="L102" s="899">
        <f t="shared" si="15"/>
        <v>0</v>
      </c>
      <c r="M102" s="899"/>
      <c r="N102" s="899"/>
      <c r="O102" s="899"/>
      <c r="P102" s="908"/>
    </row>
    <row r="103" spans="1:16" ht="12.75">
      <c r="A103" s="5">
        <v>94</v>
      </c>
      <c r="B103" s="897"/>
      <c r="C103" s="836"/>
      <c r="D103" s="836"/>
      <c r="E103" s="836"/>
      <c r="F103" s="874"/>
      <c r="G103" s="874"/>
      <c r="H103" s="901"/>
      <c r="I103" s="901"/>
      <c r="J103" s="836"/>
      <c r="K103" s="836"/>
      <c r="L103" s="899"/>
      <c r="M103" s="899"/>
      <c r="N103" s="899"/>
      <c r="O103" s="899"/>
      <c r="P103" s="908"/>
    </row>
    <row r="104" spans="1:16" ht="12.75">
      <c r="A104" s="5">
        <v>95</v>
      </c>
      <c r="B104" s="897"/>
      <c r="C104" s="836"/>
      <c r="D104" s="836"/>
      <c r="E104" s="836"/>
      <c r="F104" s="874"/>
      <c r="G104" s="874"/>
      <c r="H104" s="901"/>
      <c r="I104" s="901"/>
      <c r="J104" s="836"/>
      <c r="K104" s="836"/>
      <c r="L104" s="899"/>
      <c r="M104" s="899"/>
      <c r="N104" s="899"/>
      <c r="O104" s="899"/>
      <c r="P104" s="903"/>
    </row>
    <row r="105" spans="1:16" ht="12.75">
      <c r="A105" s="5">
        <v>96</v>
      </c>
      <c r="B105" s="910" t="s">
        <v>1170</v>
      </c>
      <c r="C105" s="911"/>
      <c r="D105" s="836"/>
      <c r="E105" s="836"/>
      <c r="F105" s="899"/>
      <c r="G105" s="899"/>
      <c r="H105" s="901"/>
      <c r="I105" s="901"/>
      <c r="J105" s="836"/>
      <c r="K105" s="836"/>
      <c r="L105" s="909" t="s">
        <v>1171</v>
      </c>
      <c r="M105" s="909"/>
      <c r="N105" s="899"/>
      <c r="O105" s="899"/>
      <c r="P105" s="903"/>
    </row>
    <row r="106" spans="1:16" ht="12.75">
      <c r="A106" s="5">
        <v>97</v>
      </c>
      <c r="B106" s="897" t="s">
        <v>207</v>
      </c>
      <c r="C106" s="836"/>
      <c r="D106" s="836" t="s">
        <v>1172</v>
      </c>
      <c r="E106" s="836"/>
      <c r="F106" s="874">
        <f>+P102*-1</f>
        <v>0</v>
      </c>
      <c r="G106" s="874"/>
      <c r="H106" s="900">
        <f>+$N$14</f>
        <v>0</v>
      </c>
      <c r="I106" s="901"/>
      <c r="J106" s="836"/>
      <c r="K106" s="836"/>
      <c r="L106" s="899">
        <f>+F106*H106*-1</f>
        <v>0</v>
      </c>
      <c r="M106" s="899"/>
      <c r="N106" s="899">
        <f>+$N$120/12</f>
        <v>0</v>
      </c>
      <c r="O106" s="899"/>
      <c r="P106" s="903">
        <f>+F106*-1+L106-N106</f>
        <v>0</v>
      </c>
    </row>
    <row r="107" spans="1:16" ht="12.75">
      <c r="A107" s="5">
        <v>98</v>
      </c>
      <c r="B107" s="897" t="s">
        <v>208</v>
      </c>
      <c r="C107" s="836"/>
      <c r="D107" s="836" t="s">
        <v>1172</v>
      </c>
      <c r="E107" s="836"/>
      <c r="F107" s="899">
        <f>+F106-($F$106/12)</f>
        <v>0</v>
      </c>
      <c r="G107" s="874"/>
      <c r="H107" s="900">
        <f t="shared" si="16" ref="H107:H117">+$N$14</f>
        <v>0</v>
      </c>
      <c r="I107" s="901"/>
      <c r="J107" s="836"/>
      <c r="K107" s="836"/>
      <c r="L107" s="899">
        <f t="shared" si="17" ref="L107:L117">+F107*H107*-1</f>
        <v>0</v>
      </c>
      <c r="M107" s="899"/>
      <c r="N107" s="899">
        <f t="shared" si="18" ref="N107:N117">+$N$120/12</f>
        <v>0</v>
      </c>
      <c r="O107" s="899"/>
      <c r="P107" s="903">
        <f t="shared" si="19" ref="P107:P117">+F107*-1+L107-N107</f>
        <v>0</v>
      </c>
    </row>
    <row r="108" spans="1:16" ht="12.75">
      <c r="A108" s="5">
        <v>99</v>
      </c>
      <c r="B108" s="897" t="s">
        <v>748</v>
      </c>
      <c r="C108" s="836"/>
      <c r="D108" s="836" t="s">
        <v>1172</v>
      </c>
      <c r="E108" s="836"/>
      <c r="F108" s="899">
        <f t="shared" si="20" ref="F108:F117">+F107-($F$106/12)</f>
        <v>0</v>
      </c>
      <c r="G108" s="874"/>
      <c r="H108" s="900">
        <f t="shared" si="16"/>
        <v>0</v>
      </c>
      <c r="I108" s="901"/>
      <c r="J108" s="836"/>
      <c r="K108" s="836"/>
      <c r="L108" s="899">
        <f t="shared" si="17"/>
        <v>0</v>
      </c>
      <c r="M108" s="899"/>
      <c r="N108" s="899">
        <f t="shared" si="18"/>
        <v>0</v>
      </c>
      <c r="O108" s="899"/>
      <c r="P108" s="903">
        <f t="shared" si="19"/>
        <v>0</v>
      </c>
    </row>
    <row r="109" spans="1:16" ht="12.75">
      <c r="A109" s="5">
        <v>100</v>
      </c>
      <c r="B109" s="897" t="s">
        <v>210</v>
      </c>
      <c r="C109" s="836"/>
      <c r="D109" s="836" t="s">
        <v>1172</v>
      </c>
      <c r="E109" s="836"/>
      <c r="F109" s="899">
        <f t="shared" si="20"/>
        <v>0</v>
      </c>
      <c r="G109" s="874"/>
      <c r="H109" s="900">
        <f t="shared" si="16"/>
        <v>0</v>
      </c>
      <c r="I109" s="901"/>
      <c r="J109" s="836"/>
      <c r="K109" s="836"/>
      <c r="L109" s="899">
        <f t="shared" si="17"/>
        <v>0</v>
      </c>
      <c r="M109" s="899"/>
      <c r="N109" s="899">
        <f t="shared" si="18"/>
        <v>0</v>
      </c>
      <c r="O109" s="899"/>
      <c r="P109" s="903">
        <f t="shared" si="19"/>
        <v>0</v>
      </c>
    </row>
    <row r="110" spans="1:16" ht="12.75">
      <c r="A110" s="5">
        <v>101</v>
      </c>
      <c r="B110" s="897" t="s">
        <v>211</v>
      </c>
      <c r="C110" s="836"/>
      <c r="D110" s="836" t="s">
        <v>1172</v>
      </c>
      <c r="E110" s="836"/>
      <c r="F110" s="899">
        <f t="shared" si="20"/>
        <v>0</v>
      </c>
      <c r="G110" s="874"/>
      <c r="H110" s="900">
        <f t="shared" si="16"/>
        <v>0</v>
      </c>
      <c r="I110" s="901"/>
      <c r="J110" s="836"/>
      <c r="K110" s="836"/>
      <c r="L110" s="899">
        <f t="shared" si="17"/>
        <v>0</v>
      </c>
      <c r="M110" s="899"/>
      <c r="N110" s="899">
        <f t="shared" si="18"/>
        <v>0</v>
      </c>
      <c r="O110" s="899"/>
      <c r="P110" s="903">
        <f t="shared" si="19"/>
        <v>0</v>
      </c>
    </row>
    <row r="111" spans="1:16" ht="12.75">
      <c r="A111" s="5">
        <v>102</v>
      </c>
      <c r="B111" s="897" t="s">
        <v>212</v>
      </c>
      <c r="C111" s="836"/>
      <c r="D111" s="836" t="s">
        <v>1172</v>
      </c>
      <c r="E111" s="836"/>
      <c r="F111" s="899">
        <f t="shared" si="20"/>
        <v>0</v>
      </c>
      <c r="G111" s="874"/>
      <c r="H111" s="900">
        <f t="shared" si="16"/>
        <v>0</v>
      </c>
      <c r="I111" s="901"/>
      <c r="J111" s="836"/>
      <c r="K111" s="836"/>
      <c r="L111" s="899">
        <f t="shared" si="17"/>
        <v>0</v>
      </c>
      <c r="M111" s="899"/>
      <c r="N111" s="899">
        <f t="shared" si="18"/>
        <v>0</v>
      </c>
      <c r="O111" s="899"/>
      <c r="P111" s="903">
        <f t="shared" si="19"/>
        <v>0</v>
      </c>
    </row>
    <row r="112" spans="1:16" ht="12.75">
      <c r="A112" s="5">
        <v>103</v>
      </c>
      <c r="B112" s="897" t="s">
        <v>213</v>
      </c>
      <c r="C112" s="836"/>
      <c r="D112" s="836" t="s">
        <v>1172</v>
      </c>
      <c r="E112" s="836"/>
      <c r="F112" s="899">
        <f t="shared" si="20"/>
        <v>0</v>
      </c>
      <c r="G112" s="874"/>
      <c r="H112" s="900">
        <f t="shared" si="16"/>
        <v>0</v>
      </c>
      <c r="I112" s="901"/>
      <c r="J112" s="836"/>
      <c r="K112" s="836"/>
      <c r="L112" s="899">
        <f t="shared" si="17"/>
        <v>0</v>
      </c>
      <c r="M112" s="899"/>
      <c r="N112" s="899">
        <f t="shared" si="18"/>
        <v>0</v>
      </c>
      <c r="O112" s="899"/>
      <c r="P112" s="903">
        <f t="shared" si="19"/>
        <v>0</v>
      </c>
    </row>
    <row r="113" spans="1:16" ht="12.75">
      <c r="A113" s="5">
        <v>104</v>
      </c>
      <c r="B113" s="897" t="s">
        <v>750</v>
      </c>
      <c r="C113" s="836"/>
      <c r="D113" s="836" t="s">
        <v>1172</v>
      </c>
      <c r="E113" s="836"/>
      <c r="F113" s="899">
        <f t="shared" si="20"/>
        <v>0</v>
      </c>
      <c r="G113" s="874"/>
      <c r="H113" s="900">
        <f t="shared" si="16"/>
        <v>0</v>
      </c>
      <c r="I113" s="901"/>
      <c r="J113" s="836"/>
      <c r="K113" s="836"/>
      <c r="L113" s="899">
        <f t="shared" si="17"/>
        <v>0</v>
      </c>
      <c r="M113" s="899"/>
      <c r="N113" s="899">
        <f t="shared" si="18"/>
        <v>0</v>
      </c>
      <c r="O113" s="899"/>
      <c r="P113" s="903">
        <f t="shared" si="19"/>
        <v>0</v>
      </c>
    </row>
    <row r="114" spans="1:16" ht="12.75">
      <c r="A114" s="5">
        <v>105</v>
      </c>
      <c r="B114" s="897" t="s">
        <v>215</v>
      </c>
      <c r="C114" s="836"/>
      <c r="D114" s="836" t="s">
        <v>1172</v>
      </c>
      <c r="E114" s="836"/>
      <c r="F114" s="899">
        <f t="shared" si="20"/>
        <v>0</v>
      </c>
      <c r="G114" s="874"/>
      <c r="H114" s="900">
        <f t="shared" si="16"/>
        <v>0</v>
      </c>
      <c r="I114" s="901"/>
      <c r="J114" s="836"/>
      <c r="K114" s="836"/>
      <c r="L114" s="899">
        <f t="shared" si="17"/>
        <v>0</v>
      </c>
      <c r="M114" s="899"/>
      <c r="N114" s="899">
        <f t="shared" si="18"/>
        <v>0</v>
      </c>
      <c r="O114" s="899"/>
      <c r="P114" s="903">
        <f t="shared" si="19"/>
        <v>0</v>
      </c>
    </row>
    <row r="115" spans="1:16" ht="12.75">
      <c r="A115" s="5">
        <v>106</v>
      </c>
      <c r="B115" s="897" t="s">
        <v>216</v>
      </c>
      <c r="C115" s="836"/>
      <c r="D115" s="836" t="s">
        <v>1172</v>
      </c>
      <c r="E115" s="836"/>
      <c r="F115" s="899">
        <f t="shared" si="20"/>
        <v>0</v>
      </c>
      <c r="G115" s="874"/>
      <c r="H115" s="900">
        <f t="shared" si="16"/>
        <v>0</v>
      </c>
      <c r="I115" s="901"/>
      <c r="J115" s="836"/>
      <c r="K115" s="836"/>
      <c r="L115" s="899">
        <f t="shared" si="17"/>
        <v>0</v>
      </c>
      <c r="M115" s="899"/>
      <c r="N115" s="899">
        <f t="shared" si="18"/>
        <v>0</v>
      </c>
      <c r="O115" s="899"/>
      <c r="P115" s="903">
        <f t="shared" si="19"/>
        <v>0</v>
      </c>
    </row>
    <row r="116" spans="1:16" ht="12.75">
      <c r="A116" s="5">
        <v>107</v>
      </c>
      <c r="B116" s="897" t="s">
        <v>217</v>
      </c>
      <c r="C116" s="836"/>
      <c r="D116" s="836" t="s">
        <v>1172</v>
      </c>
      <c r="E116" s="836"/>
      <c r="F116" s="899">
        <f t="shared" si="20"/>
        <v>0</v>
      </c>
      <c r="G116" s="874"/>
      <c r="H116" s="900">
        <f t="shared" si="16"/>
        <v>0</v>
      </c>
      <c r="I116" s="901"/>
      <c r="J116" s="836"/>
      <c r="K116" s="836"/>
      <c r="L116" s="899">
        <f t="shared" si="17"/>
        <v>0</v>
      </c>
      <c r="M116" s="899"/>
      <c r="N116" s="899">
        <f t="shared" si="18"/>
        <v>0</v>
      </c>
      <c r="O116" s="899"/>
      <c r="P116" s="903">
        <f t="shared" si="19"/>
        <v>0</v>
      </c>
    </row>
    <row r="117" spans="1:16" ht="12.75">
      <c r="A117" s="5">
        <v>108</v>
      </c>
      <c r="B117" s="897" t="s">
        <v>751</v>
      </c>
      <c r="C117" s="836"/>
      <c r="D117" s="836" t="s">
        <v>1172</v>
      </c>
      <c r="E117" s="836"/>
      <c r="F117" s="899">
        <f t="shared" si="20"/>
        <v>0</v>
      </c>
      <c r="G117" s="874"/>
      <c r="H117" s="900">
        <f t="shared" si="16"/>
        <v>0</v>
      </c>
      <c r="I117" s="901"/>
      <c r="J117" s="836"/>
      <c r="K117" s="836"/>
      <c r="L117" s="905">
        <f t="shared" si="17"/>
        <v>0</v>
      </c>
      <c r="M117" s="899"/>
      <c r="N117" s="899">
        <f t="shared" si="18"/>
        <v>0</v>
      </c>
      <c r="O117" s="899"/>
      <c r="P117" s="903">
        <f t="shared" si="19"/>
        <v>0</v>
      </c>
    </row>
    <row r="118" spans="1:16" ht="12.75">
      <c r="A118" s="5">
        <v>109</v>
      </c>
      <c r="B118" s="897"/>
      <c r="C118" s="836"/>
      <c r="D118" s="836"/>
      <c r="E118" s="836"/>
      <c r="F118" s="874"/>
      <c r="G118" s="874"/>
      <c r="H118" s="901"/>
      <c r="I118" s="901"/>
      <c r="J118" s="836"/>
      <c r="K118" s="836"/>
      <c r="L118" s="899">
        <f>+SUM(L106:L117)</f>
        <v>0</v>
      </c>
      <c r="M118" s="899"/>
      <c r="N118" s="899"/>
      <c r="O118" s="899"/>
      <c r="P118" s="903"/>
    </row>
    <row r="119" spans="1:16" ht="12.75">
      <c r="A119" s="5">
        <v>110</v>
      </c>
      <c r="B119" s="354"/>
      <c r="P119" s="716"/>
    </row>
    <row r="120" spans="1:16" ht="12.75">
      <c r="A120" s="5">
        <v>111</v>
      </c>
      <c r="B120" s="897" t="s">
        <v>1183</v>
      </c>
      <c r="C120" s="836"/>
      <c r="F120" s="1" t="s">
        <v>1184</v>
      </c>
      <c r="N120" s="711">
        <f>+F106*-1+L118</f>
        <v>0</v>
      </c>
      <c r="P120" s="716"/>
    </row>
    <row r="121" spans="1:16" ht="12.75">
      <c r="A121" s="5">
        <v>112</v>
      </c>
      <c r="B121" s="897" t="s">
        <v>1175</v>
      </c>
      <c r="C121" s="836"/>
      <c r="F121" s="1" t="s">
        <v>1185</v>
      </c>
      <c r="N121" s="711"/>
      <c r="P121" s="716"/>
    </row>
    <row r="122" spans="1:16" ht="12.75">
      <c r="A122" s="5">
        <v>113</v>
      </c>
      <c r="B122" s="912" t="s">
        <v>1177</v>
      </c>
      <c r="C122" s="913"/>
      <c r="D122" s="170"/>
      <c r="E122" s="170"/>
      <c r="F122" s="170" t="s">
        <v>1186</v>
      </c>
      <c r="G122" s="170"/>
      <c r="H122" s="170"/>
      <c r="I122" s="170"/>
      <c r="J122" s="170"/>
      <c r="K122" s="170"/>
      <c r="L122" s="170"/>
      <c r="M122" s="170"/>
      <c r="N122" s="724"/>
      <c r="O122" s="170"/>
      <c r="P122" s="171"/>
    </row>
    <row r="123" spans="1:1" ht="12.75">
      <c r="A123" s="5">
        <v>114</v>
      </c>
    </row>
    <row r="124" spans="1:1" ht="12.75">
      <c r="A124" s="5">
        <v>115</v>
      </c>
    </row>
    <row r="125" spans="1:16" ht="12.75">
      <c r="A125" s="5">
        <v>116</v>
      </c>
      <c r="B125" s="887" t="s">
        <v>1187</v>
      </c>
      <c r="C125" s="888"/>
      <c r="D125" s="889"/>
      <c r="E125" s="889"/>
      <c r="F125" s="889"/>
      <c r="G125" s="889"/>
      <c r="H125" s="890"/>
      <c r="I125" s="890"/>
      <c r="J125" s="890"/>
      <c r="K125" s="890"/>
      <c r="L125" s="891"/>
      <c r="M125" s="891"/>
      <c r="N125" s="889"/>
      <c r="O125" s="889"/>
      <c r="P125" s="892"/>
    </row>
    <row r="126" spans="1:16" ht="12.75">
      <c r="A126" s="5">
        <v>117</v>
      </c>
      <c r="B126" s="893"/>
      <c r="C126" s="894"/>
      <c r="D126" s="837"/>
      <c r="E126" s="837"/>
      <c r="F126" s="837"/>
      <c r="G126" s="837"/>
      <c r="H126" s="836"/>
      <c r="I126" s="836"/>
      <c r="J126" s="836"/>
      <c r="K126" s="836"/>
      <c r="L126" s="838" t="s">
        <v>1160</v>
      </c>
      <c r="M126" s="838"/>
      <c r="N126" s="837"/>
      <c r="O126" s="837"/>
      <c r="P126" s="895"/>
    </row>
    <row r="127" spans="1:16" ht="12.75">
      <c r="A127" s="5">
        <v>118</v>
      </c>
      <c r="B127" s="896"/>
      <c r="C127" s="894"/>
      <c r="D127" s="837"/>
      <c r="E127" s="837"/>
      <c r="F127" s="837"/>
      <c r="G127" s="837"/>
      <c r="H127" s="836"/>
      <c r="I127" s="836"/>
      <c r="J127" s="836"/>
      <c r="K127" s="836"/>
      <c r="L127" s="838"/>
      <c r="M127" s="838"/>
      <c r="N127" s="837"/>
      <c r="O127" s="837"/>
      <c r="P127" s="895"/>
    </row>
    <row r="128" spans="1:16" ht="12.75">
      <c r="A128" s="5">
        <v>119</v>
      </c>
      <c r="B128" s="897" t="s">
        <v>207</v>
      </c>
      <c r="C128" s="836"/>
      <c r="D128" s="836" t="s">
        <v>1166</v>
      </c>
      <c r="E128" s="836"/>
      <c r="F128" s="898">
        <f>+$L$12/12</f>
        <v>0</v>
      </c>
      <c r="G128" s="899"/>
      <c r="H128" s="900">
        <f>+$N$12</f>
        <v>0</v>
      </c>
      <c r="I128" s="901"/>
      <c r="J128" s="902">
        <v>12</v>
      </c>
      <c r="K128" s="836"/>
      <c r="L128" s="899">
        <f>+F128*H128*J128*-1</f>
        <v>0</v>
      </c>
      <c r="M128" s="899"/>
      <c r="N128" s="899"/>
      <c r="O128" s="899"/>
      <c r="P128" s="903">
        <f>+F128*-1+L128</f>
        <v>0</v>
      </c>
    </row>
    <row r="129" spans="1:16" ht="12.75">
      <c r="A129" s="5">
        <v>120</v>
      </c>
      <c r="B129" s="897" t="s">
        <v>208</v>
      </c>
      <c r="C129" s="836"/>
      <c r="D129" s="836" t="s">
        <v>1166</v>
      </c>
      <c r="E129" s="836"/>
      <c r="F129" s="898">
        <f t="shared" si="21" ref="F129:F139">+$L$12/12</f>
        <v>0</v>
      </c>
      <c r="G129" s="899"/>
      <c r="H129" s="900">
        <f t="shared" si="22" ref="H129:H139">+$N$12</f>
        <v>0</v>
      </c>
      <c r="I129" s="901"/>
      <c r="J129" s="904">
        <v>11</v>
      </c>
      <c r="L129" s="899">
        <f t="shared" si="23" ref="L129:L139">+F129*H129*J129*-1</f>
        <v>0</v>
      </c>
      <c r="M129" s="899"/>
      <c r="N129" s="899"/>
      <c r="O129" s="899"/>
      <c r="P129" s="903">
        <f t="shared" si="24" ref="P129:P139">+F129*-1+L129</f>
        <v>0</v>
      </c>
    </row>
    <row r="130" spans="1:16" ht="12.75">
      <c r="A130" s="5">
        <v>121</v>
      </c>
      <c r="B130" s="897" t="s">
        <v>748</v>
      </c>
      <c r="C130" s="836"/>
      <c r="D130" s="836" t="s">
        <v>1166</v>
      </c>
      <c r="E130" s="836"/>
      <c r="F130" s="898">
        <f t="shared" si="21"/>
        <v>0</v>
      </c>
      <c r="G130" s="899"/>
      <c r="H130" s="900">
        <f t="shared" si="22"/>
        <v>0</v>
      </c>
      <c r="I130" s="901"/>
      <c r="J130" s="904">
        <v>10</v>
      </c>
      <c r="L130" s="899">
        <f t="shared" si="23"/>
        <v>0</v>
      </c>
      <c r="M130" s="899"/>
      <c r="N130" s="899"/>
      <c r="O130" s="899"/>
      <c r="P130" s="903">
        <f t="shared" si="24"/>
        <v>0</v>
      </c>
    </row>
    <row r="131" spans="1:16" ht="12.75">
      <c r="A131" s="5">
        <v>122</v>
      </c>
      <c r="B131" s="897" t="s">
        <v>210</v>
      </c>
      <c r="C131" s="836"/>
      <c r="D131" s="836" t="s">
        <v>1166</v>
      </c>
      <c r="E131" s="836"/>
      <c r="F131" s="898">
        <f t="shared" si="21"/>
        <v>0</v>
      </c>
      <c r="G131" s="899"/>
      <c r="H131" s="900">
        <f t="shared" si="22"/>
        <v>0</v>
      </c>
      <c r="I131" s="901"/>
      <c r="J131" s="904">
        <v>9</v>
      </c>
      <c r="L131" s="899">
        <f t="shared" si="23"/>
        <v>0</v>
      </c>
      <c r="M131" s="899"/>
      <c r="N131" s="899"/>
      <c r="O131" s="899"/>
      <c r="P131" s="903">
        <f t="shared" si="24"/>
        <v>0</v>
      </c>
    </row>
    <row r="132" spans="1:16" ht="12.75">
      <c r="A132" s="5">
        <v>123</v>
      </c>
      <c r="B132" s="897" t="s">
        <v>211</v>
      </c>
      <c r="C132" s="836"/>
      <c r="D132" s="836" t="s">
        <v>1166</v>
      </c>
      <c r="E132" s="836"/>
      <c r="F132" s="898">
        <f t="shared" si="21"/>
        <v>0</v>
      </c>
      <c r="G132" s="899"/>
      <c r="H132" s="900">
        <f t="shared" si="22"/>
        <v>0</v>
      </c>
      <c r="I132" s="901"/>
      <c r="J132" s="904">
        <v>8</v>
      </c>
      <c r="L132" s="899">
        <f t="shared" si="23"/>
        <v>0</v>
      </c>
      <c r="M132" s="899"/>
      <c r="N132" s="899"/>
      <c r="O132" s="899"/>
      <c r="P132" s="903">
        <f t="shared" si="24"/>
        <v>0</v>
      </c>
    </row>
    <row r="133" spans="1:16" ht="12.75">
      <c r="A133" s="5">
        <v>124</v>
      </c>
      <c r="B133" s="897" t="s">
        <v>212</v>
      </c>
      <c r="C133" s="836"/>
      <c r="D133" s="836" t="s">
        <v>1166</v>
      </c>
      <c r="E133" s="836"/>
      <c r="F133" s="898">
        <f t="shared" si="21"/>
        <v>0</v>
      </c>
      <c r="G133" s="899"/>
      <c r="H133" s="900">
        <f t="shared" si="22"/>
        <v>0</v>
      </c>
      <c r="I133" s="901"/>
      <c r="J133" s="904">
        <v>7</v>
      </c>
      <c r="L133" s="899">
        <f t="shared" si="23"/>
        <v>0</v>
      </c>
      <c r="M133" s="899"/>
      <c r="N133" s="899"/>
      <c r="O133" s="899"/>
      <c r="P133" s="903">
        <f t="shared" si="24"/>
        <v>0</v>
      </c>
    </row>
    <row r="134" spans="1:16" ht="12.75">
      <c r="A134" s="5">
        <v>125</v>
      </c>
      <c r="B134" s="897" t="s">
        <v>213</v>
      </c>
      <c r="C134" s="836"/>
      <c r="D134" s="836" t="s">
        <v>1166</v>
      </c>
      <c r="E134" s="836"/>
      <c r="F134" s="898">
        <f t="shared" si="21"/>
        <v>0</v>
      </c>
      <c r="G134" s="899"/>
      <c r="H134" s="900">
        <f t="shared" si="22"/>
        <v>0</v>
      </c>
      <c r="I134" s="901"/>
      <c r="J134" s="904">
        <v>6</v>
      </c>
      <c r="L134" s="899">
        <f t="shared" si="23"/>
        <v>0</v>
      </c>
      <c r="M134" s="899"/>
      <c r="N134" s="899"/>
      <c r="O134" s="899"/>
      <c r="P134" s="903">
        <f t="shared" si="24"/>
        <v>0</v>
      </c>
    </row>
    <row r="135" spans="1:16" ht="12.75">
      <c r="A135" s="5">
        <v>126</v>
      </c>
      <c r="B135" s="897" t="s">
        <v>750</v>
      </c>
      <c r="C135" s="836"/>
      <c r="D135" s="836" t="s">
        <v>1166</v>
      </c>
      <c r="E135" s="836"/>
      <c r="F135" s="898">
        <f t="shared" si="21"/>
        <v>0</v>
      </c>
      <c r="G135" s="899"/>
      <c r="H135" s="900">
        <f t="shared" si="22"/>
        <v>0</v>
      </c>
      <c r="I135" s="901"/>
      <c r="J135" s="904">
        <v>5</v>
      </c>
      <c r="L135" s="899">
        <f t="shared" si="23"/>
        <v>0</v>
      </c>
      <c r="M135" s="899"/>
      <c r="N135" s="899"/>
      <c r="O135" s="899"/>
      <c r="P135" s="903">
        <f t="shared" si="24"/>
        <v>0</v>
      </c>
    </row>
    <row r="136" spans="1:16" ht="12.75">
      <c r="A136" s="5">
        <v>127</v>
      </c>
      <c r="B136" s="897" t="s">
        <v>215</v>
      </c>
      <c r="C136" s="836"/>
      <c r="D136" s="836" t="s">
        <v>1166</v>
      </c>
      <c r="E136" s="836"/>
      <c r="F136" s="898">
        <f t="shared" si="21"/>
        <v>0</v>
      </c>
      <c r="G136" s="899"/>
      <c r="H136" s="900">
        <f t="shared" si="22"/>
        <v>0</v>
      </c>
      <c r="I136" s="901"/>
      <c r="J136" s="904">
        <v>4</v>
      </c>
      <c r="L136" s="899">
        <f t="shared" si="23"/>
        <v>0</v>
      </c>
      <c r="M136" s="899"/>
      <c r="N136" s="899"/>
      <c r="O136" s="899"/>
      <c r="P136" s="903">
        <f t="shared" si="24"/>
        <v>0</v>
      </c>
    </row>
    <row r="137" spans="1:16" ht="12.75">
      <c r="A137" s="5">
        <v>128</v>
      </c>
      <c r="B137" s="897" t="s">
        <v>216</v>
      </c>
      <c r="C137" s="836"/>
      <c r="D137" s="836" t="s">
        <v>1166</v>
      </c>
      <c r="E137" s="836"/>
      <c r="F137" s="898">
        <f t="shared" si="21"/>
        <v>0</v>
      </c>
      <c r="G137" s="899"/>
      <c r="H137" s="900">
        <f t="shared" si="22"/>
        <v>0</v>
      </c>
      <c r="I137" s="901"/>
      <c r="J137" s="904">
        <v>3</v>
      </c>
      <c r="L137" s="899">
        <f t="shared" si="23"/>
        <v>0</v>
      </c>
      <c r="M137" s="899"/>
      <c r="N137" s="899"/>
      <c r="O137" s="899"/>
      <c r="P137" s="903">
        <f t="shared" si="24"/>
        <v>0</v>
      </c>
    </row>
    <row r="138" spans="1:16" ht="12.75">
      <c r="A138" s="5">
        <v>129</v>
      </c>
      <c r="B138" s="897" t="s">
        <v>217</v>
      </c>
      <c r="C138" s="836"/>
      <c r="D138" s="836" t="s">
        <v>1166</v>
      </c>
      <c r="E138" s="836"/>
      <c r="F138" s="898">
        <f t="shared" si="21"/>
        <v>0</v>
      </c>
      <c r="G138" s="899"/>
      <c r="H138" s="900">
        <f t="shared" si="22"/>
        <v>0</v>
      </c>
      <c r="I138" s="901"/>
      <c r="J138" s="904">
        <v>2</v>
      </c>
      <c r="L138" s="899">
        <f t="shared" si="23"/>
        <v>0</v>
      </c>
      <c r="M138" s="899"/>
      <c r="N138" s="899"/>
      <c r="O138" s="899"/>
      <c r="P138" s="903">
        <f t="shared" si="24"/>
        <v>0</v>
      </c>
    </row>
    <row r="139" spans="1:16" ht="15">
      <c r="A139" s="5">
        <v>130</v>
      </c>
      <c r="B139" s="897" t="s">
        <v>751</v>
      </c>
      <c r="C139" s="836"/>
      <c r="D139" s="836" t="s">
        <v>1166</v>
      </c>
      <c r="E139" s="836"/>
      <c r="F139" s="898">
        <f t="shared" si="21"/>
        <v>0</v>
      </c>
      <c r="G139" s="899"/>
      <c r="H139" s="900">
        <f t="shared" si="22"/>
        <v>0</v>
      </c>
      <c r="I139" s="901"/>
      <c r="J139" s="904">
        <v>1</v>
      </c>
      <c r="L139" s="916">
        <f t="shared" si="23"/>
        <v>0</v>
      </c>
      <c r="M139" s="899"/>
      <c r="N139" s="899"/>
      <c r="O139" s="899"/>
      <c r="P139" s="915">
        <f t="shared" si="24"/>
        <v>0</v>
      </c>
    </row>
    <row r="140" spans="1:16" ht="12.75">
      <c r="A140" s="5">
        <v>131</v>
      </c>
      <c r="B140" s="897"/>
      <c r="C140" s="836"/>
      <c r="D140" s="836"/>
      <c r="E140" s="836"/>
      <c r="F140" s="899"/>
      <c r="G140" s="899"/>
      <c r="H140" s="901"/>
      <c r="I140" s="901"/>
      <c r="L140" s="899">
        <f>SUM(L128:L139)</f>
        <v>0</v>
      </c>
      <c r="M140" s="899"/>
      <c r="N140" s="899"/>
      <c r="O140" s="899"/>
      <c r="P140" s="907">
        <f>SUM(P128:P139)</f>
        <v>0</v>
      </c>
    </row>
    <row r="141" spans="1:16" ht="12.75">
      <c r="A141" s="5">
        <v>132</v>
      </c>
      <c r="B141" s="897"/>
      <c r="C141" s="836"/>
      <c r="D141" s="836"/>
      <c r="E141" s="836"/>
      <c r="F141" s="899"/>
      <c r="G141" s="899"/>
      <c r="H141" s="901"/>
      <c r="I141" s="901"/>
      <c r="L141" s="899"/>
      <c r="M141" s="899"/>
      <c r="N141" s="899"/>
      <c r="O141" s="899"/>
      <c r="P141" s="908"/>
    </row>
    <row r="142" spans="1:16" ht="12.75">
      <c r="A142" s="5">
        <v>133</v>
      </c>
      <c r="B142" s="897"/>
      <c r="C142" s="836"/>
      <c r="D142" s="836"/>
      <c r="E142" s="836"/>
      <c r="F142" s="899"/>
      <c r="G142" s="899"/>
      <c r="H142" s="901"/>
      <c r="I142" s="901"/>
      <c r="L142" s="909" t="s">
        <v>1163</v>
      </c>
      <c r="M142" s="899"/>
      <c r="N142" s="899"/>
      <c r="O142" s="899"/>
      <c r="P142" s="908"/>
    </row>
    <row r="143" spans="1:16" ht="12.75">
      <c r="A143" s="5">
        <v>134</v>
      </c>
      <c r="B143" s="897"/>
      <c r="C143" s="836"/>
      <c r="D143" s="836"/>
      <c r="E143" s="836"/>
      <c r="F143" s="899"/>
      <c r="G143" s="899"/>
      <c r="H143" s="901"/>
      <c r="I143" s="901"/>
      <c r="L143" s="909"/>
      <c r="M143" s="899"/>
      <c r="N143" s="899"/>
      <c r="O143" s="899"/>
      <c r="P143" s="908"/>
    </row>
    <row r="144" spans="1:16" ht="12.75">
      <c r="A144" s="5">
        <v>135</v>
      </c>
      <c r="B144" s="897" t="s">
        <v>1164</v>
      </c>
      <c r="C144" s="836"/>
      <c r="D144" s="1" t="s">
        <v>1167</v>
      </c>
      <c r="E144" s="836"/>
      <c r="F144" s="874">
        <f>+P140</f>
        <v>0</v>
      </c>
      <c r="G144" s="874"/>
      <c r="H144" s="900">
        <f>+N13</f>
        <v>0</v>
      </c>
      <c r="I144" s="901"/>
      <c r="J144" s="902">
        <v>12</v>
      </c>
      <c r="K144" s="836"/>
      <c r="L144" s="899">
        <f>+F144*H144*J144</f>
        <v>0</v>
      </c>
      <c r="M144" s="899"/>
      <c r="N144" s="899"/>
      <c r="O144" s="899"/>
      <c r="P144" s="908">
        <f>+F144+L144</f>
        <v>0</v>
      </c>
    </row>
    <row r="145" spans="1:16" ht="12.75">
      <c r="A145" s="5">
        <v>136</v>
      </c>
      <c r="B145" s="897" t="s">
        <v>1164</v>
      </c>
      <c r="C145" s="836"/>
      <c r="D145" s="1" t="s">
        <v>1168</v>
      </c>
      <c r="E145" s="836"/>
      <c r="F145" s="874"/>
      <c r="G145" s="874"/>
      <c r="H145" s="900">
        <f>+N14</f>
        <v>0</v>
      </c>
      <c r="I145" s="901"/>
      <c r="J145" s="902">
        <v>12</v>
      </c>
      <c r="K145" s="836"/>
      <c r="L145" s="899">
        <f t="shared" si="25" ref="L145:L146">+F145*H145*J145</f>
        <v>0</v>
      </c>
      <c r="M145" s="899"/>
      <c r="N145" s="899"/>
      <c r="O145" s="899"/>
      <c r="P145" s="908">
        <f t="shared" si="26" ref="P145:P146">+F145+L145</f>
        <v>0</v>
      </c>
    </row>
    <row r="146" spans="1:16" ht="12.75">
      <c r="A146" s="5">
        <v>137</v>
      </c>
      <c r="B146" s="897" t="s">
        <v>1164</v>
      </c>
      <c r="C146" s="836"/>
      <c r="D146" s="1" t="s">
        <v>1169</v>
      </c>
      <c r="E146" s="836"/>
      <c r="F146" s="874"/>
      <c r="G146" s="874"/>
      <c r="H146" s="900">
        <f>+N14</f>
        <v>0</v>
      </c>
      <c r="I146" s="901"/>
      <c r="J146" s="902">
        <v>12</v>
      </c>
      <c r="K146" s="836"/>
      <c r="L146" s="899">
        <f t="shared" si="25"/>
        <v>0</v>
      </c>
      <c r="M146" s="899"/>
      <c r="N146" s="899"/>
      <c r="O146" s="899"/>
      <c r="P146" s="908">
        <f t="shared" si="26"/>
        <v>0</v>
      </c>
    </row>
    <row r="147" spans="1:16" ht="12.75">
      <c r="A147" s="5">
        <v>138</v>
      </c>
      <c r="B147" s="897"/>
      <c r="C147" s="836"/>
      <c r="D147" s="836"/>
      <c r="E147" s="836"/>
      <c r="F147" s="874"/>
      <c r="G147" s="874"/>
      <c r="H147" s="901"/>
      <c r="I147" s="901"/>
      <c r="J147" s="836"/>
      <c r="K147" s="836"/>
      <c r="L147" s="899"/>
      <c r="M147" s="899"/>
      <c r="N147" s="899"/>
      <c r="O147" s="899"/>
      <c r="P147" s="908"/>
    </row>
    <row r="148" spans="1:16" ht="12.75">
      <c r="A148" s="5">
        <v>139</v>
      </c>
      <c r="B148" s="897"/>
      <c r="C148" s="836"/>
      <c r="D148" s="836"/>
      <c r="E148" s="836"/>
      <c r="F148" s="874"/>
      <c r="G148" s="874"/>
      <c r="H148" s="901"/>
      <c r="I148" s="901"/>
      <c r="J148" s="836"/>
      <c r="K148" s="836"/>
      <c r="L148" s="899"/>
      <c r="M148" s="899"/>
      <c r="N148" s="899"/>
      <c r="O148" s="899"/>
      <c r="P148" s="903"/>
    </row>
    <row r="149" spans="1:16" ht="12.75">
      <c r="A149" s="5">
        <v>140</v>
      </c>
      <c r="B149" s="910" t="s">
        <v>1170</v>
      </c>
      <c r="C149" s="911"/>
      <c r="D149" s="836"/>
      <c r="E149" s="836"/>
      <c r="F149" s="899"/>
      <c r="G149" s="899"/>
      <c r="H149" s="901"/>
      <c r="I149" s="901"/>
      <c r="J149" s="836"/>
      <c r="K149" s="836"/>
      <c r="L149" s="909" t="s">
        <v>1171</v>
      </c>
      <c r="M149" s="909"/>
      <c r="N149" s="899"/>
      <c r="O149" s="899"/>
      <c r="P149" s="903"/>
    </row>
    <row r="150" spans="1:16" ht="12.75">
      <c r="A150" s="5">
        <v>141</v>
      </c>
      <c r="B150" s="897" t="s">
        <v>207</v>
      </c>
      <c r="C150" s="836"/>
      <c r="D150" s="836" t="s">
        <v>1172</v>
      </c>
      <c r="E150" s="836"/>
      <c r="F150" s="917">
        <f>+P146*-1</f>
        <v>0</v>
      </c>
      <c r="G150" s="874"/>
      <c r="H150" s="900">
        <f>+$N$14</f>
        <v>0</v>
      </c>
      <c r="I150" s="901"/>
      <c r="J150" s="836"/>
      <c r="K150" s="836"/>
      <c r="L150" s="899">
        <f>+F150*H150*-1</f>
        <v>0</v>
      </c>
      <c r="M150" s="899"/>
      <c r="N150" s="899">
        <f>+$N$164/12</f>
        <v>0</v>
      </c>
      <c r="O150" s="899"/>
      <c r="P150" s="903">
        <f>+F150*-1-N150</f>
        <v>0</v>
      </c>
    </row>
    <row r="151" spans="1:16" ht="12.75">
      <c r="A151" s="5">
        <v>142</v>
      </c>
      <c r="B151" s="897" t="s">
        <v>208</v>
      </c>
      <c r="C151" s="836"/>
      <c r="D151" s="836" t="s">
        <v>1172</v>
      </c>
      <c r="E151" s="836"/>
      <c r="F151" s="899">
        <f>+F150-($F$150/12)</f>
        <v>0</v>
      </c>
      <c r="G151" s="874"/>
      <c r="H151" s="900">
        <f t="shared" si="27" ref="H151:H161">+$N$14</f>
        <v>0</v>
      </c>
      <c r="I151" s="901"/>
      <c r="J151" s="836"/>
      <c r="K151" s="836"/>
      <c r="L151" s="899">
        <f t="shared" si="28" ref="L151:L161">+F151*H151*-1</f>
        <v>0</v>
      </c>
      <c r="M151" s="899"/>
      <c r="N151" s="899">
        <f t="shared" si="29" ref="N151:N161">+$N$164/12</f>
        <v>0</v>
      </c>
      <c r="O151" s="899"/>
      <c r="P151" s="903">
        <f t="shared" si="30" ref="P151:P161">+F151*-1-N151</f>
        <v>0</v>
      </c>
    </row>
    <row r="152" spans="1:16" ht="12.75">
      <c r="A152" s="5">
        <v>143</v>
      </c>
      <c r="B152" s="897" t="s">
        <v>748</v>
      </c>
      <c r="C152" s="836"/>
      <c r="D152" s="836" t="s">
        <v>1172</v>
      </c>
      <c r="E152" s="836"/>
      <c r="F152" s="899">
        <f t="shared" si="31" ref="F152:F161">+F151-($F$150/12)</f>
        <v>0</v>
      </c>
      <c r="G152" s="874"/>
      <c r="H152" s="900">
        <f t="shared" si="27"/>
        <v>0</v>
      </c>
      <c r="I152" s="901"/>
      <c r="J152" s="836"/>
      <c r="K152" s="836"/>
      <c r="L152" s="899">
        <f t="shared" si="28"/>
        <v>0</v>
      </c>
      <c r="M152" s="899"/>
      <c r="N152" s="899">
        <f t="shared" si="29"/>
        <v>0</v>
      </c>
      <c r="O152" s="899"/>
      <c r="P152" s="903">
        <f t="shared" si="30"/>
        <v>0</v>
      </c>
    </row>
    <row r="153" spans="1:16" ht="12.75">
      <c r="A153" s="5">
        <v>144</v>
      </c>
      <c r="B153" s="897" t="s">
        <v>210</v>
      </c>
      <c r="C153" s="836"/>
      <c r="D153" s="836" t="s">
        <v>1172</v>
      </c>
      <c r="E153" s="836"/>
      <c r="F153" s="899">
        <f t="shared" si="31"/>
        <v>0</v>
      </c>
      <c r="G153" s="874"/>
      <c r="H153" s="900">
        <f t="shared" si="27"/>
        <v>0</v>
      </c>
      <c r="I153" s="901"/>
      <c r="J153" s="836"/>
      <c r="K153" s="836"/>
      <c r="L153" s="899">
        <f t="shared" si="28"/>
        <v>0</v>
      </c>
      <c r="M153" s="899"/>
      <c r="N153" s="899">
        <f t="shared" si="29"/>
        <v>0</v>
      </c>
      <c r="O153" s="899"/>
      <c r="P153" s="903">
        <f t="shared" si="30"/>
        <v>0</v>
      </c>
    </row>
    <row r="154" spans="1:16" ht="12.75">
      <c r="A154" s="5">
        <v>145</v>
      </c>
      <c r="B154" s="897" t="s">
        <v>211</v>
      </c>
      <c r="C154" s="836"/>
      <c r="D154" s="836" t="s">
        <v>1172</v>
      </c>
      <c r="E154" s="836"/>
      <c r="F154" s="899">
        <f t="shared" si="31"/>
        <v>0</v>
      </c>
      <c r="G154" s="874"/>
      <c r="H154" s="900">
        <f t="shared" si="27"/>
        <v>0</v>
      </c>
      <c r="I154" s="901"/>
      <c r="J154" s="836"/>
      <c r="K154" s="836"/>
      <c r="L154" s="899">
        <f t="shared" si="28"/>
        <v>0</v>
      </c>
      <c r="M154" s="899"/>
      <c r="N154" s="899">
        <f t="shared" si="29"/>
        <v>0</v>
      </c>
      <c r="O154" s="899"/>
      <c r="P154" s="903">
        <f t="shared" si="30"/>
        <v>0</v>
      </c>
    </row>
    <row r="155" spans="1:16" ht="12.75">
      <c r="A155" s="5">
        <v>146</v>
      </c>
      <c r="B155" s="897" t="s">
        <v>212</v>
      </c>
      <c r="C155" s="836"/>
      <c r="D155" s="836" t="s">
        <v>1172</v>
      </c>
      <c r="E155" s="836"/>
      <c r="F155" s="899">
        <f t="shared" si="31"/>
        <v>0</v>
      </c>
      <c r="G155" s="874"/>
      <c r="H155" s="900">
        <f t="shared" si="27"/>
        <v>0</v>
      </c>
      <c r="I155" s="901"/>
      <c r="J155" s="836"/>
      <c r="K155" s="836"/>
      <c r="L155" s="899">
        <f t="shared" si="28"/>
        <v>0</v>
      </c>
      <c r="M155" s="899"/>
      <c r="N155" s="899">
        <f t="shared" si="29"/>
        <v>0</v>
      </c>
      <c r="O155" s="899"/>
      <c r="P155" s="903">
        <f t="shared" si="30"/>
        <v>0</v>
      </c>
    </row>
    <row r="156" spans="1:16" ht="12.75">
      <c r="A156" s="5">
        <v>147</v>
      </c>
      <c r="B156" s="897" t="s">
        <v>213</v>
      </c>
      <c r="C156" s="836"/>
      <c r="D156" s="836" t="s">
        <v>1172</v>
      </c>
      <c r="E156" s="836"/>
      <c r="F156" s="899">
        <f t="shared" si="31"/>
        <v>0</v>
      </c>
      <c r="G156" s="874"/>
      <c r="H156" s="900">
        <f t="shared" si="27"/>
        <v>0</v>
      </c>
      <c r="I156" s="901"/>
      <c r="J156" s="836"/>
      <c r="K156" s="836"/>
      <c r="L156" s="899">
        <f t="shared" si="28"/>
        <v>0</v>
      </c>
      <c r="M156" s="899"/>
      <c r="N156" s="899">
        <f t="shared" si="29"/>
        <v>0</v>
      </c>
      <c r="O156" s="899"/>
      <c r="P156" s="903">
        <f t="shared" si="30"/>
        <v>0</v>
      </c>
    </row>
    <row r="157" spans="1:16" ht="12.75">
      <c r="A157" s="5">
        <v>148</v>
      </c>
      <c r="B157" s="897" t="s">
        <v>750</v>
      </c>
      <c r="C157" s="836"/>
      <c r="D157" s="836" t="s">
        <v>1172</v>
      </c>
      <c r="E157" s="836"/>
      <c r="F157" s="899">
        <f t="shared" si="31"/>
        <v>0</v>
      </c>
      <c r="G157" s="874"/>
      <c r="H157" s="900">
        <f t="shared" si="27"/>
        <v>0</v>
      </c>
      <c r="I157" s="901"/>
      <c r="J157" s="836"/>
      <c r="K157" s="836"/>
      <c r="L157" s="899">
        <f t="shared" si="28"/>
        <v>0</v>
      </c>
      <c r="M157" s="899"/>
      <c r="N157" s="899">
        <f t="shared" si="29"/>
        <v>0</v>
      </c>
      <c r="O157" s="899"/>
      <c r="P157" s="903">
        <f t="shared" si="30"/>
        <v>0</v>
      </c>
    </row>
    <row r="158" spans="1:16" ht="12.75">
      <c r="A158" s="5">
        <v>149</v>
      </c>
      <c r="B158" s="897" t="s">
        <v>215</v>
      </c>
      <c r="C158" s="836"/>
      <c r="D158" s="836" t="s">
        <v>1172</v>
      </c>
      <c r="E158" s="836"/>
      <c r="F158" s="899">
        <f t="shared" si="31"/>
        <v>0</v>
      </c>
      <c r="G158" s="874"/>
      <c r="H158" s="900">
        <f t="shared" si="27"/>
        <v>0</v>
      </c>
      <c r="I158" s="901"/>
      <c r="J158" s="836"/>
      <c r="K158" s="836"/>
      <c r="L158" s="899">
        <f t="shared" si="28"/>
        <v>0</v>
      </c>
      <c r="M158" s="899"/>
      <c r="N158" s="899">
        <f t="shared" si="29"/>
        <v>0</v>
      </c>
      <c r="O158" s="899"/>
      <c r="P158" s="903">
        <f t="shared" si="30"/>
        <v>0</v>
      </c>
    </row>
    <row r="159" spans="1:16" ht="12.75">
      <c r="A159" s="5">
        <v>150</v>
      </c>
      <c r="B159" s="897" t="s">
        <v>216</v>
      </c>
      <c r="C159" s="836"/>
      <c r="D159" s="836" t="s">
        <v>1172</v>
      </c>
      <c r="E159" s="836"/>
      <c r="F159" s="899">
        <f t="shared" si="31"/>
        <v>0</v>
      </c>
      <c r="G159" s="874"/>
      <c r="H159" s="900">
        <f t="shared" si="27"/>
        <v>0</v>
      </c>
      <c r="I159" s="901"/>
      <c r="J159" s="836"/>
      <c r="K159" s="836"/>
      <c r="L159" s="899">
        <f t="shared" si="28"/>
        <v>0</v>
      </c>
      <c r="M159" s="899"/>
      <c r="N159" s="899">
        <f t="shared" si="29"/>
        <v>0</v>
      </c>
      <c r="O159" s="899"/>
      <c r="P159" s="903">
        <f t="shared" si="30"/>
        <v>0</v>
      </c>
    </row>
    <row r="160" spans="1:16" ht="12.75">
      <c r="A160" s="5">
        <v>151</v>
      </c>
      <c r="B160" s="897" t="s">
        <v>217</v>
      </c>
      <c r="C160" s="836"/>
      <c r="D160" s="836" t="s">
        <v>1172</v>
      </c>
      <c r="E160" s="836"/>
      <c r="F160" s="899">
        <f t="shared" si="31"/>
        <v>0</v>
      </c>
      <c r="G160" s="874"/>
      <c r="H160" s="900">
        <f t="shared" si="27"/>
        <v>0</v>
      </c>
      <c r="I160" s="901"/>
      <c r="J160" s="836"/>
      <c r="K160" s="836"/>
      <c r="L160" s="899">
        <f t="shared" si="28"/>
        <v>0</v>
      </c>
      <c r="M160" s="899"/>
      <c r="N160" s="899">
        <f t="shared" si="29"/>
        <v>0</v>
      </c>
      <c r="O160" s="899"/>
      <c r="P160" s="903">
        <f t="shared" si="30"/>
        <v>0</v>
      </c>
    </row>
    <row r="161" spans="1:16" ht="12.75">
      <c r="A161" s="5">
        <v>152</v>
      </c>
      <c r="B161" s="897" t="s">
        <v>751</v>
      </c>
      <c r="C161" s="836"/>
      <c r="D161" s="836" t="s">
        <v>1172</v>
      </c>
      <c r="E161" s="836"/>
      <c r="F161" s="899">
        <f t="shared" si="31"/>
        <v>0</v>
      </c>
      <c r="G161" s="874"/>
      <c r="H161" s="900">
        <f t="shared" si="27"/>
        <v>0</v>
      </c>
      <c r="I161" s="901"/>
      <c r="J161" s="836"/>
      <c r="K161" s="836"/>
      <c r="L161" s="905">
        <f t="shared" si="28"/>
        <v>0</v>
      </c>
      <c r="M161" s="899"/>
      <c r="N161" s="899">
        <f t="shared" si="29"/>
        <v>0</v>
      </c>
      <c r="O161" s="899"/>
      <c r="P161" s="903">
        <f t="shared" si="30"/>
        <v>0</v>
      </c>
    </row>
    <row r="162" spans="1:16" ht="12.75">
      <c r="A162" s="5">
        <v>153</v>
      </c>
      <c r="B162" s="897"/>
      <c r="C162" s="836"/>
      <c r="D162" s="836"/>
      <c r="E162" s="836"/>
      <c r="F162" s="874"/>
      <c r="G162" s="874"/>
      <c r="H162" s="901"/>
      <c r="I162" s="901"/>
      <c r="J162" s="836"/>
      <c r="K162" s="836"/>
      <c r="L162" s="899">
        <f>SUM(L150:L161)</f>
        <v>0</v>
      </c>
      <c r="M162" s="899"/>
      <c r="N162" s="899"/>
      <c r="O162" s="899"/>
      <c r="P162" s="903"/>
    </row>
    <row r="163" spans="1:16" ht="12.75">
      <c r="A163" s="5">
        <v>154</v>
      </c>
      <c r="B163" s="354"/>
      <c r="P163" s="716"/>
    </row>
    <row r="164" spans="1:16" ht="12.75">
      <c r="A164" s="5">
        <v>155</v>
      </c>
      <c r="B164" s="897" t="s">
        <v>1188</v>
      </c>
      <c r="C164" s="836"/>
      <c r="F164" s="1" t="s">
        <v>1189</v>
      </c>
      <c r="N164" s="711">
        <f>+F150*-1+L162</f>
        <v>0</v>
      </c>
      <c r="P164" s="716"/>
    </row>
    <row r="165" spans="1:16" ht="12.75">
      <c r="A165" s="5">
        <v>156</v>
      </c>
      <c r="B165" s="897" t="s">
        <v>1175</v>
      </c>
      <c r="C165" s="836"/>
      <c r="F165" s="1" t="s">
        <v>1190</v>
      </c>
      <c r="N165" s="711"/>
      <c r="P165" s="716"/>
    </row>
    <row r="166" spans="1:16" ht="12.75">
      <c r="A166" s="5">
        <v>157</v>
      </c>
      <c r="B166" s="912" t="s">
        <v>1177</v>
      </c>
      <c r="C166" s="913"/>
      <c r="D166" s="170"/>
      <c r="E166" s="170"/>
      <c r="F166" s="170" t="s">
        <v>1191</v>
      </c>
      <c r="G166" s="170"/>
      <c r="H166" s="170"/>
      <c r="I166" s="170"/>
      <c r="J166" s="170"/>
      <c r="K166" s="170"/>
      <c r="L166" s="170"/>
      <c r="M166" s="170"/>
      <c r="N166" s="724"/>
      <c r="O166" s="170"/>
      <c r="P166" s="171"/>
    </row>
    <row r="167" spans="1:1" ht="12.75">
      <c r="A167" s="5">
        <v>158</v>
      </c>
    </row>
    <row r="168" spans="1:16" ht="12.75">
      <c r="A168" s="5">
        <v>159</v>
      </c>
      <c r="P168" s="209" t="s">
        <v>1192</v>
      </c>
    </row>
    <row r="169" spans="1:14" ht="12.75">
      <c r="A169" s="5">
        <v>160</v>
      </c>
      <c r="B169" s="838" t="s">
        <v>1180</v>
      </c>
      <c r="C169" s="838"/>
      <c r="D169" s="838"/>
      <c r="E169" s="838"/>
      <c r="F169" s="838"/>
      <c r="G169" s="838"/>
      <c r="H169" s="838"/>
      <c r="I169" s="838"/>
      <c r="J169" s="838"/>
      <c r="K169" s="838"/>
      <c r="L169" s="838"/>
      <c r="M169" s="838"/>
      <c r="N169" s="838"/>
    </row>
    <row r="170" spans="1:14" ht="12.75">
      <c r="A170" s="5">
        <v>161</v>
      </c>
      <c r="B170" s="125" t="s">
        <v>1181</v>
      </c>
      <c r="C170" s="125"/>
      <c r="D170" s="125"/>
      <c r="E170" s="125"/>
      <c r="F170" s="125"/>
      <c r="G170" s="125"/>
      <c r="H170" s="125"/>
      <c r="I170" s="125"/>
      <c r="J170" s="125"/>
      <c r="K170" s="125"/>
      <c r="L170" s="125"/>
      <c r="M170" s="125"/>
      <c r="N170" s="125"/>
    </row>
    <row r="171" spans="1:14" ht="12.75">
      <c r="A171" s="5">
        <v>162</v>
      </c>
      <c r="B171" s="838"/>
      <c r="C171" s="838"/>
      <c r="D171" s="838"/>
      <c r="E171" s="838"/>
      <c r="F171" s="838"/>
      <c r="G171" s="838"/>
      <c r="H171" s="838"/>
      <c r="I171" s="838"/>
      <c r="J171" s="838"/>
      <c r="K171" s="838"/>
      <c r="L171" s="838"/>
      <c r="M171" s="838"/>
      <c r="N171" s="838"/>
    </row>
    <row r="172" spans="1:1" ht="12.75">
      <c r="A172" s="5">
        <v>163</v>
      </c>
    </row>
    <row r="173" spans="1:16" ht="12.75">
      <c r="A173" s="5">
        <v>164</v>
      </c>
      <c r="B173" s="887" t="s">
        <v>1193</v>
      </c>
      <c r="C173" s="888"/>
      <c r="D173" s="889"/>
      <c r="E173" s="889"/>
      <c r="F173" s="889"/>
      <c r="G173" s="889"/>
      <c r="H173" s="890"/>
      <c r="I173" s="890"/>
      <c r="J173" s="890"/>
      <c r="K173" s="890"/>
      <c r="L173" s="891"/>
      <c r="M173" s="891"/>
      <c r="N173" s="889"/>
      <c r="O173" s="889"/>
      <c r="P173" s="892"/>
    </row>
    <row r="174" spans="1:16" ht="12.75">
      <c r="A174" s="5">
        <v>165</v>
      </c>
      <c r="B174" s="893"/>
      <c r="C174" s="894"/>
      <c r="D174" s="837"/>
      <c r="E174" s="837"/>
      <c r="F174" s="837"/>
      <c r="G174" s="837"/>
      <c r="H174" s="836"/>
      <c r="I174" s="836"/>
      <c r="J174" s="836"/>
      <c r="K174" s="836"/>
      <c r="L174" s="838" t="s">
        <v>1160</v>
      </c>
      <c r="M174" s="838"/>
      <c r="N174" s="837"/>
      <c r="O174" s="837"/>
      <c r="P174" s="895"/>
    </row>
    <row r="175" spans="1:16" ht="12.75">
      <c r="A175" s="5">
        <v>166</v>
      </c>
      <c r="B175" s="896"/>
      <c r="C175" s="894"/>
      <c r="D175" s="837"/>
      <c r="E175" s="837"/>
      <c r="F175" s="837"/>
      <c r="G175" s="837"/>
      <c r="H175" s="836"/>
      <c r="I175" s="836"/>
      <c r="J175" s="836"/>
      <c r="K175" s="836"/>
      <c r="L175" s="838"/>
      <c r="M175" s="838"/>
      <c r="N175" s="837"/>
      <c r="O175" s="837"/>
      <c r="P175" s="895"/>
    </row>
    <row r="176" spans="1:16" ht="12.75">
      <c r="A176" s="5">
        <v>167</v>
      </c>
      <c r="B176" s="897" t="s">
        <v>207</v>
      </c>
      <c r="C176" s="836"/>
      <c r="D176" s="836" t="s">
        <v>1167</v>
      </c>
      <c r="E176" s="836"/>
      <c r="F176" s="898">
        <f>+$L$13/12</f>
        <v>0</v>
      </c>
      <c r="G176" s="899"/>
      <c r="H176" s="900">
        <f>+$N$13</f>
        <v>0</v>
      </c>
      <c r="I176" s="901"/>
      <c r="J176" s="902">
        <v>12</v>
      </c>
      <c r="K176" s="836"/>
      <c r="L176" s="899">
        <f>+F176*H176*J176*-1</f>
        <v>0</v>
      </c>
      <c r="M176" s="899"/>
      <c r="N176" s="899"/>
      <c r="O176" s="899"/>
      <c r="P176" s="903">
        <f>+F176*-1+L176</f>
        <v>0</v>
      </c>
    </row>
    <row r="177" spans="1:16" ht="12.75">
      <c r="A177" s="5">
        <v>168</v>
      </c>
      <c r="B177" s="897" t="s">
        <v>208</v>
      </c>
      <c r="C177" s="836"/>
      <c r="D177" s="836" t="s">
        <v>1167</v>
      </c>
      <c r="E177" s="836"/>
      <c r="F177" s="898">
        <f t="shared" si="32" ref="F177:F187">+$L$13/12</f>
        <v>0</v>
      </c>
      <c r="G177" s="899"/>
      <c r="H177" s="900">
        <f t="shared" si="33" ref="H177:H187">+$N$13</f>
        <v>0</v>
      </c>
      <c r="I177" s="901"/>
      <c r="J177" s="904">
        <v>11</v>
      </c>
      <c r="L177" s="899">
        <f t="shared" si="34" ref="L177:L187">+F177*H177*J177*-1</f>
        <v>0</v>
      </c>
      <c r="M177" s="899"/>
      <c r="N177" s="899"/>
      <c r="O177" s="899"/>
      <c r="P177" s="903">
        <f t="shared" si="35" ref="P177:P187">+F177*-1+L177</f>
        <v>0</v>
      </c>
    </row>
    <row r="178" spans="1:16" ht="12.75">
      <c r="A178" s="5">
        <v>169</v>
      </c>
      <c r="B178" s="897" t="s">
        <v>748</v>
      </c>
      <c r="C178" s="836"/>
      <c r="D178" s="836" t="s">
        <v>1167</v>
      </c>
      <c r="E178" s="836"/>
      <c r="F178" s="898">
        <f t="shared" si="32"/>
        <v>0</v>
      </c>
      <c r="G178" s="899"/>
      <c r="H178" s="900">
        <f t="shared" si="33"/>
        <v>0</v>
      </c>
      <c r="I178" s="901"/>
      <c r="J178" s="904">
        <v>10</v>
      </c>
      <c r="L178" s="899">
        <f t="shared" si="34"/>
        <v>0</v>
      </c>
      <c r="M178" s="899"/>
      <c r="N178" s="899"/>
      <c r="O178" s="899"/>
      <c r="P178" s="903">
        <f t="shared" si="35"/>
        <v>0</v>
      </c>
    </row>
    <row r="179" spans="1:16" ht="12.75">
      <c r="A179" s="5">
        <v>170</v>
      </c>
      <c r="B179" s="897" t="s">
        <v>210</v>
      </c>
      <c r="C179" s="836"/>
      <c r="D179" s="836" t="s">
        <v>1167</v>
      </c>
      <c r="E179" s="836"/>
      <c r="F179" s="898">
        <f t="shared" si="32"/>
        <v>0</v>
      </c>
      <c r="G179" s="899"/>
      <c r="H179" s="900">
        <f t="shared" si="33"/>
        <v>0</v>
      </c>
      <c r="I179" s="901"/>
      <c r="J179" s="904">
        <v>9</v>
      </c>
      <c r="L179" s="899">
        <f t="shared" si="34"/>
        <v>0</v>
      </c>
      <c r="M179" s="899"/>
      <c r="N179" s="899"/>
      <c r="O179" s="899"/>
      <c r="P179" s="903">
        <f t="shared" si="35"/>
        <v>0</v>
      </c>
    </row>
    <row r="180" spans="1:16" ht="12.75">
      <c r="A180" s="5">
        <v>171</v>
      </c>
      <c r="B180" s="897" t="s">
        <v>211</v>
      </c>
      <c r="C180" s="836"/>
      <c r="D180" s="836" t="s">
        <v>1167</v>
      </c>
      <c r="E180" s="836"/>
      <c r="F180" s="898">
        <f t="shared" si="32"/>
        <v>0</v>
      </c>
      <c r="G180" s="899"/>
      <c r="H180" s="900">
        <f t="shared" si="33"/>
        <v>0</v>
      </c>
      <c r="I180" s="901"/>
      <c r="J180" s="904">
        <v>8</v>
      </c>
      <c r="L180" s="899">
        <f t="shared" si="34"/>
        <v>0</v>
      </c>
      <c r="M180" s="899"/>
      <c r="N180" s="899"/>
      <c r="O180" s="899"/>
      <c r="P180" s="903">
        <f t="shared" si="35"/>
        <v>0</v>
      </c>
    </row>
    <row r="181" spans="1:16" ht="12.75">
      <c r="A181" s="5">
        <v>172</v>
      </c>
      <c r="B181" s="897" t="s">
        <v>212</v>
      </c>
      <c r="C181" s="836"/>
      <c r="D181" s="836" t="s">
        <v>1167</v>
      </c>
      <c r="E181" s="836"/>
      <c r="F181" s="898">
        <f t="shared" si="32"/>
        <v>0</v>
      </c>
      <c r="G181" s="899"/>
      <c r="H181" s="900">
        <f t="shared" si="33"/>
        <v>0</v>
      </c>
      <c r="I181" s="901"/>
      <c r="J181" s="904">
        <v>7</v>
      </c>
      <c r="L181" s="899">
        <f t="shared" si="34"/>
        <v>0</v>
      </c>
      <c r="M181" s="899"/>
      <c r="N181" s="899"/>
      <c r="O181" s="899"/>
      <c r="P181" s="903">
        <f t="shared" si="35"/>
        <v>0</v>
      </c>
    </row>
    <row r="182" spans="1:16" ht="12.75">
      <c r="A182" s="5">
        <v>173</v>
      </c>
      <c r="B182" s="897" t="s">
        <v>213</v>
      </c>
      <c r="C182" s="836"/>
      <c r="D182" s="836" t="s">
        <v>1167</v>
      </c>
      <c r="E182" s="836"/>
      <c r="F182" s="898">
        <f t="shared" si="32"/>
        <v>0</v>
      </c>
      <c r="G182" s="899"/>
      <c r="H182" s="900">
        <f t="shared" si="33"/>
        <v>0</v>
      </c>
      <c r="I182" s="901"/>
      <c r="J182" s="904">
        <v>6</v>
      </c>
      <c r="L182" s="899">
        <f t="shared" si="34"/>
        <v>0</v>
      </c>
      <c r="M182" s="899"/>
      <c r="N182" s="899"/>
      <c r="O182" s="899"/>
      <c r="P182" s="903">
        <f t="shared" si="35"/>
        <v>0</v>
      </c>
    </row>
    <row r="183" spans="1:16" ht="12.75">
      <c r="A183" s="5">
        <v>174</v>
      </c>
      <c r="B183" s="897" t="s">
        <v>750</v>
      </c>
      <c r="C183" s="836"/>
      <c r="D183" s="836" t="s">
        <v>1167</v>
      </c>
      <c r="E183" s="836"/>
      <c r="F183" s="898">
        <f t="shared" si="32"/>
        <v>0</v>
      </c>
      <c r="G183" s="899"/>
      <c r="H183" s="900">
        <f t="shared" si="33"/>
        <v>0</v>
      </c>
      <c r="I183" s="901"/>
      <c r="J183" s="904">
        <v>5</v>
      </c>
      <c r="L183" s="899">
        <f t="shared" si="34"/>
        <v>0</v>
      </c>
      <c r="M183" s="899"/>
      <c r="N183" s="899"/>
      <c r="O183" s="899"/>
      <c r="P183" s="903">
        <f t="shared" si="35"/>
        <v>0</v>
      </c>
    </row>
    <row r="184" spans="1:16" ht="12.75">
      <c r="A184" s="5">
        <v>175</v>
      </c>
      <c r="B184" s="897" t="s">
        <v>215</v>
      </c>
      <c r="C184" s="836"/>
      <c r="D184" s="836" t="s">
        <v>1167</v>
      </c>
      <c r="E184" s="836"/>
      <c r="F184" s="898">
        <f t="shared" si="32"/>
        <v>0</v>
      </c>
      <c r="G184" s="899"/>
      <c r="H184" s="900">
        <f t="shared" si="33"/>
        <v>0</v>
      </c>
      <c r="I184" s="901"/>
      <c r="J184" s="904">
        <v>4</v>
      </c>
      <c r="L184" s="899">
        <f t="shared" si="34"/>
        <v>0</v>
      </c>
      <c r="M184" s="899"/>
      <c r="N184" s="899"/>
      <c r="O184" s="899"/>
      <c r="P184" s="903">
        <f t="shared" si="35"/>
        <v>0</v>
      </c>
    </row>
    <row r="185" spans="1:16" ht="12.75">
      <c r="A185" s="5">
        <v>176</v>
      </c>
      <c r="B185" s="897" t="s">
        <v>216</v>
      </c>
      <c r="C185" s="836"/>
      <c r="D185" s="836" t="s">
        <v>1167</v>
      </c>
      <c r="E185" s="836"/>
      <c r="F185" s="898">
        <f t="shared" si="32"/>
        <v>0</v>
      </c>
      <c r="G185" s="899"/>
      <c r="H185" s="900">
        <f t="shared" si="33"/>
        <v>0</v>
      </c>
      <c r="I185" s="901"/>
      <c r="J185" s="904">
        <v>3</v>
      </c>
      <c r="L185" s="899">
        <f t="shared" si="34"/>
        <v>0</v>
      </c>
      <c r="M185" s="899"/>
      <c r="N185" s="899"/>
      <c r="O185" s="899"/>
      <c r="P185" s="903">
        <f t="shared" si="35"/>
        <v>0</v>
      </c>
    </row>
    <row r="186" spans="1:16" ht="12.75">
      <c r="A186" s="5">
        <v>177</v>
      </c>
      <c r="B186" s="897" t="s">
        <v>217</v>
      </c>
      <c r="C186" s="836"/>
      <c r="D186" s="836" t="s">
        <v>1167</v>
      </c>
      <c r="E186" s="836"/>
      <c r="F186" s="898">
        <f t="shared" si="32"/>
        <v>0</v>
      </c>
      <c r="G186" s="899"/>
      <c r="H186" s="900">
        <f t="shared" si="33"/>
        <v>0</v>
      </c>
      <c r="I186" s="901"/>
      <c r="J186" s="904">
        <v>2</v>
      </c>
      <c r="L186" s="899">
        <f t="shared" si="34"/>
        <v>0</v>
      </c>
      <c r="M186" s="899"/>
      <c r="N186" s="899"/>
      <c r="O186" s="899"/>
      <c r="P186" s="903">
        <f t="shared" si="35"/>
        <v>0</v>
      </c>
    </row>
    <row r="187" spans="1:16" ht="15">
      <c r="A187" s="5">
        <v>178</v>
      </c>
      <c r="B187" s="897" t="s">
        <v>751</v>
      </c>
      <c r="C187" s="836"/>
      <c r="D187" s="836" t="s">
        <v>1167</v>
      </c>
      <c r="E187" s="836"/>
      <c r="F187" s="898">
        <f t="shared" si="32"/>
        <v>0</v>
      </c>
      <c r="G187" s="899"/>
      <c r="H187" s="900">
        <f t="shared" si="33"/>
        <v>0</v>
      </c>
      <c r="I187" s="901"/>
      <c r="J187" s="904">
        <v>1</v>
      </c>
      <c r="L187" s="916">
        <f t="shared" si="34"/>
        <v>0</v>
      </c>
      <c r="M187" s="899"/>
      <c r="N187" s="899"/>
      <c r="O187" s="899"/>
      <c r="P187" s="915">
        <f t="shared" si="35"/>
        <v>0</v>
      </c>
    </row>
    <row r="188" spans="1:16" ht="12.75">
      <c r="A188" s="5">
        <v>179</v>
      </c>
      <c r="B188" s="897"/>
      <c r="C188" s="836"/>
      <c r="D188" s="836"/>
      <c r="E188" s="836"/>
      <c r="F188" s="899"/>
      <c r="G188" s="899"/>
      <c r="H188" s="901"/>
      <c r="I188" s="901"/>
      <c r="L188" s="899">
        <f>+SUM(L176:L187)</f>
        <v>0</v>
      </c>
      <c r="M188" s="899"/>
      <c r="N188" s="899"/>
      <c r="O188" s="899"/>
      <c r="P188" s="907">
        <f>+SUM(P176:P187)</f>
        <v>0</v>
      </c>
    </row>
    <row r="189" spans="1:16" ht="12.75">
      <c r="A189" s="5">
        <v>180</v>
      </c>
      <c r="B189" s="897"/>
      <c r="C189" s="836"/>
      <c r="D189" s="836"/>
      <c r="E189" s="836"/>
      <c r="F189" s="899"/>
      <c r="G189" s="899"/>
      <c r="H189" s="901"/>
      <c r="I189" s="901"/>
      <c r="L189" s="899"/>
      <c r="M189" s="899"/>
      <c r="N189" s="899"/>
      <c r="O189" s="899"/>
      <c r="P189" s="908"/>
    </row>
    <row r="190" spans="1:16" ht="12.75">
      <c r="A190" s="5">
        <v>181</v>
      </c>
      <c r="B190" s="897"/>
      <c r="C190" s="836"/>
      <c r="D190" s="836"/>
      <c r="E190" s="836"/>
      <c r="F190" s="899"/>
      <c r="G190" s="899"/>
      <c r="H190" s="901"/>
      <c r="I190" s="901"/>
      <c r="L190" s="909" t="s">
        <v>1163</v>
      </c>
      <c r="M190" s="899"/>
      <c r="N190" s="899"/>
      <c r="O190" s="899"/>
      <c r="P190" s="908"/>
    </row>
    <row r="191" spans="1:16" ht="12.75">
      <c r="A191" s="5">
        <v>182</v>
      </c>
      <c r="B191" s="897"/>
      <c r="C191" s="836"/>
      <c r="D191" s="836"/>
      <c r="E191" s="836"/>
      <c r="F191" s="899"/>
      <c r="G191" s="899"/>
      <c r="H191" s="901"/>
      <c r="I191" s="901"/>
      <c r="L191" s="909"/>
      <c r="M191" s="899"/>
      <c r="N191" s="899"/>
      <c r="O191" s="899"/>
      <c r="P191" s="908"/>
    </row>
    <row r="192" spans="1:16" ht="12.75">
      <c r="A192" s="5">
        <v>183</v>
      </c>
      <c r="B192" s="897" t="s">
        <v>1164</v>
      </c>
      <c r="C192" s="836"/>
      <c r="D192" s="836" t="s">
        <v>1168</v>
      </c>
      <c r="E192" s="836"/>
      <c r="F192" s="874">
        <f>+P188</f>
        <v>0</v>
      </c>
      <c r="G192" s="874"/>
      <c r="H192" s="900">
        <f>+N14</f>
        <v>0</v>
      </c>
      <c r="I192" s="901"/>
      <c r="J192" s="902">
        <v>12</v>
      </c>
      <c r="K192" s="836"/>
      <c r="L192" s="899">
        <f>+F192*H192*J192</f>
        <v>0</v>
      </c>
      <c r="M192" s="899"/>
      <c r="N192" s="899"/>
      <c r="O192" s="899"/>
      <c r="P192" s="908">
        <f>+F192+L192</f>
        <v>0</v>
      </c>
    </row>
    <row r="193" spans="1:16" ht="12.75">
      <c r="A193" s="5">
        <v>184</v>
      </c>
      <c r="B193" s="897" t="s">
        <v>1164</v>
      </c>
      <c r="C193" s="836"/>
      <c r="D193" s="836" t="s">
        <v>1169</v>
      </c>
      <c r="E193" s="836"/>
      <c r="F193" s="874"/>
      <c r="G193" s="874"/>
      <c r="H193" s="900">
        <f>+N14</f>
        <v>0</v>
      </c>
      <c r="I193" s="901"/>
      <c r="J193" s="902">
        <v>12</v>
      </c>
      <c r="K193" s="836"/>
      <c r="L193" s="899">
        <f>+F193*H193*J193</f>
        <v>0</v>
      </c>
      <c r="M193" s="899"/>
      <c r="N193" s="899"/>
      <c r="O193" s="899"/>
      <c r="P193" s="908">
        <f>+F193+L193</f>
        <v>0</v>
      </c>
    </row>
    <row r="194" spans="1:16" ht="12.75">
      <c r="A194" s="5">
        <v>185</v>
      </c>
      <c r="B194" s="897"/>
      <c r="C194" s="836"/>
      <c r="D194" s="836"/>
      <c r="E194" s="836"/>
      <c r="F194" s="874"/>
      <c r="G194" s="874"/>
      <c r="H194" s="901"/>
      <c r="I194" s="901"/>
      <c r="J194" s="836"/>
      <c r="K194" s="836"/>
      <c r="L194" s="899"/>
      <c r="M194" s="899"/>
      <c r="N194" s="899"/>
      <c r="O194" s="899"/>
      <c r="P194" s="908"/>
    </row>
    <row r="195" spans="1:16" ht="12.75">
      <c r="A195" s="5">
        <v>186</v>
      </c>
      <c r="B195" s="897"/>
      <c r="C195" s="836"/>
      <c r="D195" s="836"/>
      <c r="E195" s="836"/>
      <c r="F195" s="874"/>
      <c r="G195" s="874"/>
      <c r="H195" s="901"/>
      <c r="I195" s="901"/>
      <c r="J195" s="836"/>
      <c r="K195" s="836"/>
      <c r="L195" s="899"/>
      <c r="M195" s="899"/>
      <c r="N195" s="899"/>
      <c r="O195" s="899"/>
      <c r="P195" s="903"/>
    </row>
    <row r="196" spans="1:16" ht="12.75">
      <c r="A196" s="5">
        <v>187</v>
      </c>
      <c r="B196" s="910" t="s">
        <v>1170</v>
      </c>
      <c r="C196" s="911"/>
      <c r="D196" s="836"/>
      <c r="E196" s="836"/>
      <c r="F196" s="899"/>
      <c r="G196" s="899"/>
      <c r="H196" s="901"/>
      <c r="I196" s="901"/>
      <c r="J196" s="836"/>
      <c r="K196" s="836"/>
      <c r="L196" s="909" t="s">
        <v>1171</v>
      </c>
      <c r="M196" s="909"/>
      <c r="N196" s="899"/>
      <c r="O196" s="899"/>
      <c r="P196" s="903"/>
    </row>
    <row r="197" spans="1:16" ht="12.75">
      <c r="A197" s="5">
        <v>188</v>
      </c>
      <c r="B197" s="897" t="s">
        <v>207</v>
      </c>
      <c r="C197" s="836"/>
      <c r="D197" s="836" t="s">
        <v>1172</v>
      </c>
      <c r="E197" s="836"/>
      <c r="F197" s="917">
        <f>+P193*-1</f>
        <v>0</v>
      </c>
      <c r="G197" s="874"/>
      <c r="H197" s="900">
        <f>+$N$14</f>
        <v>0</v>
      </c>
      <c r="I197" s="901"/>
      <c r="J197" s="836"/>
      <c r="K197" s="836"/>
      <c r="L197" s="899">
        <f>+F197*H197*-1</f>
        <v>0</v>
      </c>
      <c r="M197" s="899"/>
      <c r="N197" s="899">
        <f>+$N$211/12</f>
        <v>0</v>
      </c>
      <c r="O197" s="899"/>
      <c r="P197" s="903">
        <f>+F197*-1-N197</f>
        <v>0</v>
      </c>
    </row>
    <row r="198" spans="1:16" ht="12.75">
      <c r="A198" s="5">
        <v>189</v>
      </c>
      <c r="B198" s="897" t="s">
        <v>208</v>
      </c>
      <c r="C198" s="836"/>
      <c r="D198" s="836" t="s">
        <v>1172</v>
      </c>
      <c r="E198" s="836"/>
      <c r="F198" s="918">
        <f>+F197-($F$197/12)</f>
        <v>0</v>
      </c>
      <c r="G198" s="874"/>
      <c r="H198" s="900">
        <f t="shared" si="36" ref="H198:H208">+$N$14</f>
        <v>0</v>
      </c>
      <c r="I198" s="901"/>
      <c r="J198" s="836"/>
      <c r="K198" s="836"/>
      <c r="L198" s="899">
        <f t="shared" si="37" ref="L198:L208">+F198*H198*-1</f>
        <v>0</v>
      </c>
      <c r="M198" s="899"/>
      <c r="N198" s="899">
        <f t="shared" si="38" ref="N198:N208">+$N$211/12</f>
        <v>0</v>
      </c>
      <c r="O198" s="899"/>
      <c r="P198" s="903">
        <f t="shared" si="39" ref="P198:P208">+F198*-1-N198</f>
        <v>0</v>
      </c>
    </row>
    <row r="199" spans="1:16" ht="12.75">
      <c r="A199" s="5">
        <v>190</v>
      </c>
      <c r="B199" s="897" t="s">
        <v>748</v>
      </c>
      <c r="C199" s="836"/>
      <c r="D199" s="836" t="s">
        <v>1172</v>
      </c>
      <c r="E199" s="836"/>
      <c r="F199" s="918">
        <f t="shared" si="40" ref="F199:F208">+F198-($F$197/12)</f>
        <v>0</v>
      </c>
      <c r="G199" s="874"/>
      <c r="H199" s="900">
        <f t="shared" si="36"/>
        <v>0</v>
      </c>
      <c r="I199" s="901"/>
      <c r="J199" s="836"/>
      <c r="K199" s="836"/>
      <c r="L199" s="899">
        <f t="shared" si="37"/>
        <v>0</v>
      </c>
      <c r="M199" s="899"/>
      <c r="N199" s="899">
        <f t="shared" si="38"/>
        <v>0</v>
      </c>
      <c r="O199" s="899"/>
      <c r="P199" s="903">
        <f t="shared" si="39"/>
        <v>0</v>
      </c>
    </row>
    <row r="200" spans="1:16" ht="12.75">
      <c r="A200" s="5">
        <v>191</v>
      </c>
      <c r="B200" s="897" t="s">
        <v>210</v>
      </c>
      <c r="C200" s="836"/>
      <c r="D200" s="836" t="s">
        <v>1172</v>
      </c>
      <c r="E200" s="836"/>
      <c r="F200" s="918">
        <f t="shared" si="40"/>
        <v>0</v>
      </c>
      <c r="G200" s="874"/>
      <c r="H200" s="900">
        <f t="shared" si="36"/>
        <v>0</v>
      </c>
      <c r="I200" s="901"/>
      <c r="J200" s="836"/>
      <c r="K200" s="836"/>
      <c r="L200" s="899">
        <f t="shared" si="37"/>
        <v>0</v>
      </c>
      <c r="M200" s="899"/>
      <c r="N200" s="899">
        <f t="shared" si="38"/>
        <v>0</v>
      </c>
      <c r="O200" s="899"/>
      <c r="P200" s="903">
        <f t="shared" si="39"/>
        <v>0</v>
      </c>
    </row>
    <row r="201" spans="1:16" ht="12.75">
      <c r="A201" s="5">
        <v>192</v>
      </c>
      <c r="B201" s="897" t="s">
        <v>211</v>
      </c>
      <c r="C201" s="836"/>
      <c r="D201" s="836" t="s">
        <v>1172</v>
      </c>
      <c r="E201" s="836"/>
      <c r="F201" s="918">
        <f t="shared" si="40"/>
        <v>0</v>
      </c>
      <c r="G201" s="874"/>
      <c r="H201" s="900">
        <f t="shared" si="36"/>
        <v>0</v>
      </c>
      <c r="I201" s="901"/>
      <c r="J201" s="836"/>
      <c r="K201" s="836"/>
      <c r="L201" s="899">
        <f t="shared" si="37"/>
        <v>0</v>
      </c>
      <c r="M201" s="899"/>
      <c r="N201" s="899">
        <f t="shared" si="38"/>
        <v>0</v>
      </c>
      <c r="O201" s="899"/>
      <c r="P201" s="903">
        <f t="shared" si="39"/>
        <v>0</v>
      </c>
    </row>
    <row r="202" spans="1:16" ht="12.75">
      <c r="A202" s="5">
        <v>193</v>
      </c>
      <c r="B202" s="897" t="s">
        <v>212</v>
      </c>
      <c r="C202" s="836"/>
      <c r="D202" s="836" t="s">
        <v>1172</v>
      </c>
      <c r="E202" s="836"/>
      <c r="F202" s="918">
        <f t="shared" si="40"/>
        <v>0</v>
      </c>
      <c r="G202" s="874"/>
      <c r="H202" s="900">
        <f t="shared" si="36"/>
        <v>0</v>
      </c>
      <c r="I202" s="901"/>
      <c r="J202" s="836"/>
      <c r="K202" s="836"/>
      <c r="L202" s="899">
        <f t="shared" si="37"/>
        <v>0</v>
      </c>
      <c r="M202" s="899"/>
      <c r="N202" s="899">
        <f t="shared" si="38"/>
        <v>0</v>
      </c>
      <c r="O202" s="899"/>
      <c r="P202" s="903">
        <f t="shared" si="39"/>
        <v>0</v>
      </c>
    </row>
    <row r="203" spans="1:16" ht="12.75">
      <c r="A203" s="5">
        <v>194</v>
      </c>
      <c r="B203" s="897" t="s">
        <v>213</v>
      </c>
      <c r="C203" s="836"/>
      <c r="D203" s="836" t="s">
        <v>1172</v>
      </c>
      <c r="E203" s="836"/>
      <c r="F203" s="918">
        <f t="shared" si="40"/>
        <v>0</v>
      </c>
      <c r="G203" s="874"/>
      <c r="H203" s="900">
        <f t="shared" si="36"/>
        <v>0</v>
      </c>
      <c r="I203" s="901"/>
      <c r="J203" s="836"/>
      <c r="K203" s="836"/>
      <c r="L203" s="899">
        <f t="shared" si="37"/>
        <v>0</v>
      </c>
      <c r="M203" s="899"/>
      <c r="N203" s="899">
        <f t="shared" si="38"/>
        <v>0</v>
      </c>
      <c r="O203" s="899"/>
      <c r="P203" s="903">
        <f t="shared" si="39"/>
        <v>0</v>
      </c>
    </row>
    <row r="204" spans="1:16" ht="12.75">
      <c r="A204" s="5">
        <v>195</v>
      </c>
      <c r="B204" s="897" t="s">
        <v>750</v>
      </c>
      <c r="C204" s="836"/>
      <c r="D204" s="836" t="s">
        <v>1172</v>
      </c>
      <c r="E204" s="836"/>
      <c r="F204" s="918">
        <f t="shared" si="40"/>
        <v>0</v>
      </c>
      <c r="G204" s="874"/>
      <c r="H204" s="900">
        <f t="shared" si="36"/>
        <v>0</v>
      </c>
      <c r="I204" s="901"/>
      <c r="J204" s="836"/>
      <c r="K204" s="836"/>
      <c r="L204" s="899">
        <f t="shared" si="37"/>
        <v>0</v>
      </c>
      <c r="M204" s="899"/>
      <c r="N204" s="899">
        <f t="shared" si="38"/>
        <v>0</v>
      </c>
      <c r="O204" s="899"/>
      <c r="P204" s="903">
        <f t="shared" si="39"/>
        <v>0</v>
      </c>
    </row>
    <row r="205" spans="1:16" ht="12.75">
      <c r="A205" s="5">
        <v>196</v>
      </c>
      <c r="B205" s="897" t="s">
        <v>215</v>
      </c>
      <c r="C205" s="836"/>
      <c r="D205" s="836" t="s">
        <v>1172</v>
      </c>
      <c r="E205" s="836"/>
      <c r="F205" s="918">
        <f t="shared" si="40"/>
        <v>0</v>
      </c>
      <c r="G205" s="874"/>
      <c r="H205" s="900">
        <f t="shared" si="36"/>
        <v>0</v>
      </c>
      <c r="I205" s="901"/>
      <c r="J205" s="836"/>
      <c r="K205" s="836"/>
      <c r="L205" s="899">
        <f t="shared" si="37"/>
        <v>0</v>
      </c>
      <c r="M205" s="899"/>
      <c r="N205" s="899">
        <f t="shared" si="38"/>
        <v>0</v>
      </c>
      <c r="O205" s="899"/>
      <c r="P205" s="903">
        <f t="shared" si="39"/>
        <v>0</v>
      </c>
    </row>
    <row r="206" spans="1:16" ht="12.75">
      <c r="A206" s="5">
        <v>197</v>
      </c>
      <c r="B206" s="897" t="s">
        <v>216</v>
      </c>
      <c r="C206" s="836"/>
      <c r="D206" s="836" t="s">
        <v>1172</v>
      </c>
      <c r="E206" s="836"/>
      <c r="F206" s="918">
        <f t="shared" si="40"/>
        <v>0</v>
      </c>
      <c r="G206" s="874"/>
      <c r="H206" s="900">
        <f t="shared" si="36"/>
        <v>0</v>
      </c>
      <c r="I206" s="901"/>
      <c r="J206" s="836"/>
      <c r="K206" s="836"/>
      <c r="L206" s="899">
        <f t="shared" si="37"/>
        <v>0</v>
      </c>
      <c r="M206" s="899"/>
      <c r="N206" s="899">
        <f t="shared" si="38"/>
        <v>0</v>
      </c>
      <c r="O206" s="899"/>
      <c r="P206" s="903">
        <f t="shared" si="39"/>
        <v>0</v>
      </c>
    </row>
    <row r="207" spans="1:16" ht="12.75">
      <c r="A207" s="5">
        <v>198</v>
      </c>
      <c r="B207" s="897" t="s">
        <v>217</v>
      </c>
      <c r="C207" s="836"/>
      <c r="D207" s="836" t="s">
        <v>1172</v>
      </c>
      <c r="E207" s="836"/>
      <c r="F207" s="918">
        <f t="shared" si="40"/>
        <v>0</v>
      </c>
      <c r="G207" s="874"/>
      <c r="H207" s="900">
        <f t="shared" si="36"/>
        <v>0</v>
      </c>
      <c r="I207" s="901"/>
      <c r="J207" s="836"/>
      <c r="K207" s="836"/>
      <c r="L207" s="899">
        <f t="shared" si="37"/>
        <v>0</v>
      </c>
      <c r="M207" s="899"/>
      <c r="N207" s="899">
        <f t="shared" si="38"/>
        <v>0</v>
      </c>
      <c r="O207" s="899"/>
      <c r="P207" s="903">
        <f t="shared" si="39"/>
        <v>0</v>
      </c>
    </row>
    <row r="208" spans="1:16" ht="12.75">
      <c r="A208" s="5">
        <v>199</v>
      </c>
      <c r="B208" s="897" t="s">
        <v>751</v>
      </c>
      <c r="C208" s="836"/>
      <c r="D208" s="836" t="s">
        <v>1172</v>
      </c>
      <c r="E208" s="836"/>
      <c r="F208" s="918">
        <f t="shared" si="40"/>
        <v>0</v>
      </c>
      <c r="G208" s="874"/>
      <c r="H208" s="900">
        <f t="shared" si="36"/>
        <v>0</v>
      </c>
      <c r="I208" s="901"/>
      <c r="J208" s="836"/>
      <c r="K208" s="836"/>
      <c r="L208" s="905">
        <f t="shared" si="37"/>
        <v>0</v>
      </c>
      <c r="M208" s="899"/>
      <c r="N208" s="899">
        <f t="shared" si="38"/>
        <v>0</v>
      </c>
      <c r="O208" s="899"/>
      <c r="P208" s="903">
        <f t="shared" si="39"/>
        <v>0</v>
      </c>
    </row>
    <row r="209" spans="1:16" ht="12.75">
      <c r="A209" s="5">
        <v>200</v>
      </c>
      <c r="B209" s="897"/>
      <c r="C209" s="836"/>
      <c r="D209" s="836"/>
      <c r="E209" s="836"/>
      <c r="F209" s="874"/>
      <c r="G209" s="874"/>
      <c r="H209" s="901"/>
      <c r="I209" s="901"/>
      <c r="J209" s="836"/>
      <c r="K209" s="836"/>
      <c r="L209" s="899">
        <f>SUM(L197:L208)</f>
        <v>0</v>
      </c>
      <c r="M209" s="899"/>
      <c r="N209" s="899"/>
      <c r="O209" s="899"/>
      <c r="P209" s="903"/>
    </row>
    <row r="210" spans="1:16" ht="12.75">
      <c r="A210" s="5">
        <v>201</v>
      </c>
      <c r="B210" s="354"/>
      <c r="P210" s="716"/>
    </row>
    <row r="211" spans="1:16" ht="12.75">
      <c r="A211" s="5">
        <v>202</v>
      </c>
      <c r="B211" s="897" t="s">
        <v>1194</v>
      </c>
      <c r="C211" s="836"/>
      <c r="F211" s="1" t="s">
        <v>1195</v>
      </c>
      <c r="N211" s="711">
        <f>+F197*-1+L209</f>
        <v>0</v>
      </c>
      <c r="P211" s="716"/>
    </row>
    <row r="212" spans="1:16" ht="12.75">
      <c r="A212" s="5">
        <v>203</v>
      </c>
      <c r="B212" s="897" t="s">
        <v>1175</v>
      </c>
      <c r="C212" s="836"/>
      <c r="F212" s="1" t="s">
        <v>1196</v>
      </c>
      <c r="N212" s="711"/>
      <c r="P212" s="716"/>
    </row>
    <row r="213" spans="1:16" ht="12.75">
      <c r="A213" s="5">
        <v>204</v>
      </c>
      <c r="B213" s="912" t="s">
        <v>1177</v>
      </c>
      <c r="C213" s="913"/>
      <c r="D213" s="170"/>
      <c r="E213" s="170"/>
      <c r="F213" s="170" t="s">
        <v>1197</v>
      </c>
      <c r="G213" s="170"/>
      <c r="H213" s="170"/>
      <c r="I213" s="170"/>
      <c r="J213" s="170"/>
      <c r="K213" s="170"/>
      <c r="L213" s="170"/>
      <c r="M213" s="170"/>
      <c r="N213" s="724"/>
      <c r="O213" s="170"/>
      <c r="P213" s="171"/>
    </row>
    <row r="214" spans="1:1" ht="12.75">
      <c r="A214" s="5">
        <v>205</v>
      </c>
    </row>
    <row r="215" spans="1:1" ht="12.75">
      <c r="A215" s="5">
        <v>206</v>
      </c>
    </row>
    <row r="216" spans="1:16" ht="12.75">
      <c r="A216" s="5">
        <v>207</v>
      </c>
      <c r="B216" s="887" t="s">
        <v>1198</v>
      </c>
      <c r="C216" s="888"/>
      <c r="D216" s="889"/>
      <c r="E216" s="889"/>
      <c r="F216" s="889"/>
      <c r="G216" s="889"/>
      <c r="H216" s="890"/>
      <c r="I216" s="890"/>
      <c r="J216" s="890"/>
      <c r="K216" s="890"/>
      <c r="L216" s="891"/>
      <c r="M216" s="891"/>
      <c r="N216" s="889"/>
      <c r="O216" s="889"/>
      <c r="P216" s="892"/>
    </row>
    <row r="217" spans="1:16" ht="12.75">
      <c r="A217" s="5">
        <v>208</v>
      </c>
      <c r="B217" s="893"/>
      <c r="C217" s="894"/>
      <c r="D217" s="837"/>
      <c r="E217" s="837"/>
      <c r="F217" s="837"/>
      <c r="G217" s="837"/>
      <c r="H217" s="836"/>
      <c r="I217" s="836"/>
      <c r="J217" s="836"/>
      <c r="K217" s="836"/>
      <c r="L217" s="838" t="s">
        <v>1160</v>
      </c>
      <c r="M217" s="838"/>
      <c r="N217" s="837"/>
      <c r="O217" s="837"/>
      <c r="P217" s="895"/>
    </row>
    <row r="218" spans="1:16" ht="12.75">
      <c r="A218" s="5">
        <v>209</v>
      </c>
      <c r="B218" s="896"/>
      <c r="C218" s="894"/>
      <c r="D218" s="837"/>
      <c r="E218" s="837"/>
      <c r="F218" s="837"/>
      <c r="G218" s="837"/>
      <c r="H218" s="836"/>
      <c r="I218" s="836"/>
      <c r="J218" s="836"/>
      <c r="K218" s="836"/>
      <c r="L218" s="838"/>
      <c r="M218" s="838"/>
      <c r="N218" s="837"/>
      <c r="O218" s="837"/>
      <c r="P218" s="895"/>
    </row>
    <row r="219" spans="1:16" ht="12.75">
      <c r="A219" s="5">
        <v>210</v>
      </c>
      <c r="B219" s="897" t="s">
        <v>207</v>
      </c>
      <c r="C219" s="836"/>
      <c r="D219" s="836" t="s">
        <v>1168</v>
      </c>
      <c r="E219" s="836"/>
      <c r="F219" s="898">
        <f>+$L$14/12</f>
        <v>0</v>
      </c>
      <c r="G219" s="899"/>
      <c r="H219" s="900">
        <f>+$N$14</f>
        <v>0</v>
      </c>
      <c r="I219" s="901"/>
      <c r="J219" s="902">
        <v>12</v>
      </c>
      <c r="K219" s="836"/>
      <c r="L219" s="899">
        <f>+F219*H219*J219*-1</f>
        <v>0</v>
      </c>
      <c r="M219" s="899"/>
      <c r="N219" s="899"/>
      <c r="O219" s="899"/>
      <c r="P219" s="903">
        <f>+F219*-1+L219</f>
        <v>0</v>
      </c>
    </row>
    <row r="220" spans="1:16" ht="12.75">
      <c r="A220" s="5">
        <v>211</v>
      </c>
      <c r="B220" s="897" t="s">
        <v>208</v>
      </c>
      <c r="C220" s="836"/>
      <c r="D220" s="836" t="s">
        <v>1168</v>
      </c>
      <c r="E220" s="836"/>
      <c r="F220" s="898">
        <f t="shared" si="41" ref="F220:F230">+$L$14/12</f>
        <v>0</v>
      </c>
      <c r="G220" s="899"/>
      <c r="H220" s="900">
        <f t="shared" si="42" ref="H220:H230">+$N$14</f>
        <v>0</v>
      </c>
      <c r="I220" s="901"/>
      <c r="J220" s="904">
        <v>11</v>
      </c>
      <c r="L220" s="899">
        <f t="shared" si="43" ref="L220:L230">+F220*H220*J220*-1</f>
        <v>0</v>
      </c>
      <c r="M220" s="899"/>
      <c r="N220" s="899"/>
      <c r="O220" s="899"/>
      <c r="P220" s="903">
        <f t="shared" si="44" ref="P220:P230">+F220*-1+L220</f>
        <v>0</v>
      </c>
    </row>
    <row r="221" spans="1:16" ht="12.75">
      <c r="A221" s="5">
        <v>212</v>
      </c>
      <c r="B221" s="897" t="s">
        <v>748</v>
      </c>
      <c r="C221" s="836"/>
      <c r="D221" s="836" t="s">
        <v>1168</v>
      </c>
      <c r="E221" s="836"/>
      <c r="F221" s="898">
        <f t="shared" si="41"/>
        <v>0</v>
      </c>
      <c r="G221" s="899"/>
      <c r="H221" s="900">
        <f t="shared" si="42"/>
        <v>0</v>
      </c>
      <c r="I221" s="901"/>
      <c r="J221" s="904">
        <v>10</v>
      </c>
      <c r="L221" s="899">
        <f t="shared" si="43"/>
        <v>0</v>
      </c>
      <c r="M221" s="899"/>
      <c r="N221" s="899"/>
      <c r="O221" s="899"/>
      <c r="P221" s="903">
        <f t="shared" si="44"/>
        <v>0</v>
      </c>
    </row>
    <row r="222" spans="1:16" ht="12.75">
      <c r="A222" s="5">
        <v>213</v>
      </c>
      <c r="B222" s="897" t="s">
        <v>210</v>
      </c>
      <c r="C222" s="836"/>
      <c r="D222" s="836" t="s">
        <v>1168</v>
      </c>
      <c r="E222" s="836"/>
      <c r="F222" s="898">
        <f t="shared" si="41"/>
        <v>0</v>
      </c>
      <c r="G222" s="899"/>
      <c r="H222" s="900">
        <f t="shared" si="42"/>
        <v>0</v>
      </c>
      <c r="I222" s="901"/>
      <c r="J222" s="904">
        <v>9</v>
      </c>
      <c r="L222" s="899">
        <f t="shared" si="43"/>
        <v>0</v>
      </c>
      <c r="M222" s="899"/>
      <c r="N222" s="899"/>
      <c r="O222" s="899"/>
      <c r="P222" s="903">
        <f t="shared" si="44"/>
        <v>0</v>
      </c>
    </row>
    <row r="223" spans="1:16" ht="12.75">
      <c r="A223" s="5">
        <v>214</v>
      </c>
      <c r="B223" s="897" t="s">
        <v>211</v>
      </c>
      <c r="C223" s="836"/>
      <c r="D223" s="836" t="s">
        <v>1168</v>
      </c>
      <c r="E223" s="836"/>
      <c r="F223" s="898">
        <f t="shared" si="41"/>
        <v>0</v>
      </c>
      <c r="G223" s="899"/>
      <c r="H223" s="900">
        <f t="shared" si="42"/>
        <v>0</v>
      </c>
      <c r="I223" s="901"/>
      <c r="J223" s="904">
        <v>8</v>
      </c>
      <c r="L223" s="899">
        <f t="shared" si="43"/>
        <v>0</v>
      </c>
      <c r="M223" s="899"/>
      <c r="N223" s="899"/>
      <c r="O223" s="899"/>
      <c r="P223" s="903">
        <f t="shared" si="44"/>
        <v>0</v>
      </c>
    </row>
    <row r="224" spans="1:16" ht="12.75">
      <c r="A224" s="5">
        <v>215</v>
      </c>
      <c r="B224" s="897" t="s">
        <v>212</v>
      </c>
      <c r="C224" s="836"/>
      <c r="D224" s="836" t="s">
        <v>1168</v>
      </c>
      <c r="E224" s="836"/>
      <c r="F224" s="898">
        <f t="shared" si="41"/>
        <v>0</v>
      </c>
      <c r="G224" s="899"/>
      <c r="H224" s="900">
        <f t="shared" si="42"/>
        <v>0</v>
      </c>
      <c r="I224" s="901"/>
      <c r="J224" s="904">
        <v>7</v>
      </c>
      <c r="L224" s="899">
        <f t="shared" si="43"/>
        <v>0</v>
      </c>
      <c r="M224" s="899"/>
      <c r="N224" s="899"/>
      <c r="O224" s="899"/>
      <c r="P224" s="903">
        <f t="shared" si="44"/>
        <v>0</v>
      </c>
    </row>
    <row r="225" spans="1:16" ht="12.75">
      <c r="A225" s="5">
        <v>216</v>
      </c>
      <c r="B225" s="897" t="s">
        <v>213</v>
      </c>
      <c r="C225" s="836"/>
      <c r="D225" s="836" t="s">
        <v>1168</v>
      </c>
      <c r="E225" s="836"/>
      <c r="F225" s="898">
        <f t="shared" si="41"/>
        <v>0</v>
      </c>
      <c r="G225" s="899"/>
      <c r="H225" s="900">
        <f t="shared" si="42"/>
        <v>0</v>
      </c>
      <c r="I225" s="901"/>
      <c r="J225" s="904">
        <v>6</v>
      </c>
      <c r="L225" s="899">
        <f t="shared" si="43"/>
        <v>0</v>
      </c>
      <c r="M225" s="899"/>
      <c r="N225" s="899"/>
      <c r="O225" s="899"/>
      <c r="P225" s="903">
        <f t="shared" si="44"/>
        <v>0</v>
      </c>
    </row>
    <row r="226" spans="1:16" ht="12.75">
      <c r="A226" s="5">
        <v>217</v>
      </c>
      <c r="B226" s="897" t="s">
        <v>750</v>
      </c>
      <c r="C226" s="836"/>
      <c r="D226" s="836" t="s">
        <v>1168</v>
      </c>
      <c r="E226" s="836"/>
      <c r="F226" s="898">
        <f t="shared" si="41"/>
        <v>0</v>
      </c>
      <c r="G226" s="899"/>
      <c r="H226" s="900">
        <f t="shared" si="42"/>
        <v>0</v>
      </c>
      <c r="I226" s="901"/>
      <c r="J226" s="904">
        <v>5</v>
      </c>
      <c r="L226" s="899">
        <f t="shared" si="43"/>
        <v>0</v>
      </c>
      <c r="M226" s="899"/>
      <c r="N226" s="899"/>
      <c r="O226" s="899"/>
      <c r="P226" s="903">
        <f t="shared" si="44"/>
        <v>0</v>
      </c>
    </row>
    <row r="227" spans="1:16" ht="12.75">
      <c r="A227" s="5">
        <v>218</v>
      </c>
      <c r="B227" s="897" t="s">
        <v>215</v>
      </c>
      <c r="C227" s="836"/>
      <c r="D227" s="836" t="s">
        <v>1168</v>
      </c>
      <c r="E227" s="836"/>
      <c r="F227" s="898">
        <f t="shared" si="41"/>
        <v>0</v>
      </c>
      <c r="G227" s="899"/>
      <c r="H227" s="900">
        <f t="shared" si="42"/>
        <v>0</v>
      </c>
      <c r="I227" s="901"/>
      <c r="J227" s="904">
        <v>4</v>
      </c>
      <c r="L227" s="899">
        <f t="shared" si="43"/>
        <v>0</v>
      </c>
      <c r="M227" s="899"/>
      <c r="N227" s="899"/>
      <c r="O227" s="899"/>
      <c r="P227" s="903">
        <f t="shared" si="44"/>
        <v>0</v>
      </c>
    </row>
    <row r="228" spans="1:16" ht="12.75">
      <c r="A228" s="5">
        <v>219</v>
      </c>
      <c r="B228" s="897" t="s">
        <v>216</v>
      </c>
      <c r="C228" s="836"/>
      <c r="D228" s="836" t="s">
        <v>1168</v>
      </c>
      <c r="E228" s="836"/>
      <c r="F228" s="898">
        <f t="shared" si="41"/>
        <v>0</v>
      </c>
      <c r="G228" s="899"/>
      <c r="H228" s="900">
        <f t="shared" si="42"/>
        <v>0</v>
      </c>
      <c r="I228" s="901"/>
      <c r="J228" s="904">
        <v>3</v>
      </c>
      <c r="L228" s="899">
        <f t="shared" si="43"/>
        <v>0</v>
      </c>
      <c r="M228" s="899"/>
      <c r="N228" s="899"/>
      <c r="O228" s="899"/>
      <c r="P228" s="903">
        <f t="shared" si="44"/>
        <v>0</v>
      </c>
    </row>
    <row r="229" spans="1:16" ht="12.75">
      <c r="A229" s="5">
        <v>220</v>
      </c>
      <c r="B229" s="897" t="s">
        <v>217</v>
      </c>
      <c r="C229" s="836"/>
      <c r="D229" s="836" t="s">
        <v>1168</v>
      </c>
      <c r="E229" s="836"/>
      <c r="F229" s="898">
        <f t="shared" si="41"/>
        <v>0</v>
      </c>
      <c r="G229" s="899"/>
      <c r="H229" s="900">
        <f t="shared" si="42"/>
        <v>0</v>
      </c>
      <c r="I229" s="901"/>
      <c r="J229" s="904">
        <v>2</v>
      </c>
      <c r="L229" s="899">
        <f t="shared" si="43"/>
        <v>0</v>
      </c>
      <c r="M229" s="899"/>
      <c r="N229" s="899"/>
      <c r="O229" s="899"/>
      <c r="P229" s="903">
        <f t="shared" si="44"/>
        <v>0</v>
      </c>
    </row>
    <row r="230" spans="1:16" ht="12.75">
      <c r="A230" s="5">
        <v>221</v>
      </c>
      <c r="B230" s="897" t="s">
        <v>751</v>
      </c>
      <c r="C230" s="836"/>
      <c r="D230" s="836" t="s">
        <v>1168</v>
      </c>
      <c r="E230" s="836"/>
      <c r="F230" s="898">
        <f t="shared" si="41"/>
        <v>0</v>
      </c>
      <c r="G230" s="899"/>
      <c r="H230" s="900">
        <f t="shared" si="42"/>
        <v>0</v>
      </c>
      <c r="I230" s="901"/>
      <c r="J230" s="904">
        <v>1</v>
      </c>
      <c r="L230" s="905">
        <f t="shared" si="43"/>
        <v>0</v>
      </c>
      <c r="M230" s="899"/>
      <c r="N230" s="899"/>
      <c r="O230" s="899"/>
      <c r="P230" s="906">
        <f t="shared" si="44"/>
        <v>0</v>
      </c>
    </row>
    <row r="231" spans="1:16" ht="12.75">
      <c r="A231" s="5">
        <v>222</v>
      </c>
      <c r="B231" s="897"/>
      <c r="C231" s="836"/>
      <c r="D231" s="836"/>
      <c r="E231" s="836"/>
      <c r="F231" s="899"/>
      <c r="G231" s="899"/>
      <c r="H231" s="901"/>
      <c r="I231" s="901"/>
      <c r="L231" s="899">
        <f>SUM(L219:L230)</f>
        <v>0</v>
      </c>
      <c r="M231" s="899"/>
      <c r="N231" s="899"/>
      <c r="O231" s="899"/>
      <c r="P231" s="907">
        <f>SUM(P219:P230)</f>
        <v>0</v>
      </c>
    </row>
    <row r="232" spans="1:16" ht="12.75">
      <c r="A232" s="5">
        <v>223</v>
      </c>
      <c r="B232" s="897"/>
      <c r="C232" s="836"/>
      <c r="D232" s="836"/>
      <c r="E232" s="836"/>
      <c r="F232" s="899"/>
      <c r="G232" s="899"/>
      <c r="H232" s="901"/>
      <c r="I232" s="901"/>
      <c r="L232" s="899"/>
      <c r="M232" s="899"/>
      <c r="N232" s="899"/>
      <c r="O232" s="899"/>
      <c r="P232" s="908"/>
    </row>
    <row r="233" spans="1:16" ht="12.75">
      <c r="A233" s="5">
        <v>224</v>
      </c>
      <c r="B233" s="897"/>
      <c r="C233" s="836"/>
      <c r="D233" s="836"/>
      <c r="E233" s="836"/>
      <c r="F233" s="899"/>
      <c r="G233" s="899"/>
      <c r="H233" s="901"/>
      <c r="I233" s="901"/>
      <c r="L233" s="909" t="s">
        <v>1163</v>
      </c>
      <c r="M233" s="899"/>
      <c r="N233" s="899"/>
      <c r="O233" s="899"/>
      <c r="P233" s="908"/>
    </row>
    <row r="234" spans="1:16" ht="12.75">
      <c r="A234" s="5">
        <v>225</v>
      </c>
      <c r="B234" s="897"/>
      <c r="C234" s="836"/>
      <c r="D234" s="836"/>
      <c r="E234" s="836"/>
      <c r="F234" s="899"/>
      <c r="G234" s="899"/>
      <c r="H234" s="901"/>
      <c r="I234" s="901"/>
      <c r="L234" s="909"/>
      <c r="M234" s="899"/>
      <c r="N234" s="899"/>
      <c r="O234" s="899"/>
      <c r="P234" s="908"/>
    </row>
    <row r="235" spans="1:16" ht="12.75">
      <c r="A235" s="5">
        <v>226</v>
      </c>
      <c r="B235" s="897" t="s">
        <v>1164</v>
      </c>
      <c r="C235" s="836"/>
      <c r="D235" s="836" t="s">
        <v>1169</v>
      </c>
      <c r="E235" s="836"/>
      <c r="F235" s="874">
        <f>+P231</f>
        <v>0</v>
      </c>
      <c r="G235" s="874"/>
      <c r="H235" s="900">
        <f>+N14</f>
        <v>0</v>
      </c>
      <c r="I235" s="901"/>
      <c r="J235" s="902">
        <v>12</v>
      </c>
      <c r="K235" s="836"/>
      <c r="L235" s="899">
        <f>+F235*H235*J235</f>
        <v>0</v>
      </c>
      <c r="M235" s="899"/>
      <c r="N235" s="899"/>
      <c r="O235" s="899"/>
      <c r="P235" s="908">
        <f>+F235+L235</f>
        <v>0</v>
      </c>
    </row>
    <row r="236" spans="1:16" ht="12.75">
      <c r="A236" s="5">
        <v>227</v>
      </c>
      <c r="B236" s="897"/>
      <c r="C236" s="836"/>
      <c r="D236" s="836"/>
      <c r="E236" s="836"/>
      <c r="F236" s="874"/>
      <c r="G236" s="874"/>
      <c r="H236" s="901"/>
      <c r="I236" s="901"/>
      <c r="J236" s="836"/>
      <c r="K236" s="836"/>
      <c r="L236" s="899"/>
      <c r="M236" s="899"/>
      <c r="N236" s="899"/>
      <c r="O236" s="899"/>
      <c r="P236" s="908"/>
    </row>
    <row r="237" spans="1:16" ht="12.75">
      <c r="A237" s="5">
        <v>228</v>
      </c>
      <c r="B237" s="897"/>
      <c r="C237" s="836"/>
      <c r="D237" s="836"/>
      <c r="E237" s="836"/>
      <c r="F237" s="874"/>
      <c r="G237" s="874"/>
      <c r="H237" s="901"/>
      <c r="I237" s="901"/>
      <c r="J237" s="836"/>
      <c r="K237" s="836"/>
      <c r="L237" s="899"/>
      <c r="M237" s="899"/>
      <c r="N237" s="899"/>
      <c r="O237" s="899"/>
      <c r="P237" s="903"/>
    </row>
    <row r="238" spans="1:16" ht="12.75">
      <c r="A238" s="5">
        <v>229</v>
      </c>
      <c r="B238" s="910" t="s">
        <v>1170</v>
      </c>
      <c r="C238" s="911"/>
      <c r="D238" s="836"/>
      <c r="E238" s="836"/>
      <c r="F238" s="899"/>
      <c r="G238" s="899"/>
      <c r="H238" s="901"/>
      <c r="I238" s="901"/>
      <c r="J238" s="836"/>
      <c r="K238" s="836"/>
      <c r="L238" s="909" t="s">
        <v>1171</v>
      </c>
      <c r="M238" s="909"/>
      <c r="N238" s="899"/>
      <c r="O238" s="899"/>
      <c r="P238" s="903"/>
    </row>
    <row r="239" spans="1:16" ht="12.75">
      <c r="A239" s="5">
        <v>230</v>
      </c>
      <c r="B239" s="897" t="s">
        <v>207</v>
      </c>
      <c r="C239" s="836"/>
      <c r="D239" s="836" t="s">
        <v>1172</v>
      </c>
      <c r="E239" s="836"/>
      <c r="F239" s="917">
        <f>+P235*-1</f>
        <v>0</v>
      </c>
      <c r="G239" s="874"/>
      <c r="H239" s="900">
        <f>+$N$14</f>
        <v>0</v>
      </c>
      <c r="I239" s="901"/>
      <c r="J239" s="836"/>
      <c r="K239" s="836"/>
      <c r="L239" s="899">
        <f>+F239*H239*-1</f>
        <v>0</v>
      </c>
      <c r="M239" s="899"/>
      <c r="N239" s="899">
        <f>+$N$253/12</f>
        <v>0</v>
      </c>
      <c r="O239" s="899"/>
      <c r="P239" s="903">
        <f>+F239*-1-N239</f>
        <v>0</v>
      </c>
    </row>
    <row r="240" spans="1:16" ht="12.75">
      <c r="A240" s="5">
        <v>231</v>
      </c>
      <c r="B240" s="897" t="s">
        <v>208</v>
      </c>
      <c r="C240" s="836"/>
      <c r="D240" s="836" t="s">
        <v>1172</v>
      </c>
      <c r="E240" s="836"/>
      <c r="F240" s="899">
        <f>+F239-($F$239/12)</f>
        <v>0</v>
      </c>
      <c r="G240" s="874"/>
      <c r="H240" s="900">
        <f t="shared" si="45" ref="H240:H250">+$N$14</f>
        <v>0</v>
      </c>
      <c r="I240" s="901"/>
      <c r="J240" s="836"/>
      <c r="K240" s="836"/>
      <c r="L240" s="899">
        <f t="shared" si="46" ref="L240:L250">+F240*H240*-1</f>
        <v>0</v>
      </c>
      <c r="M240" s="899"/>
      <c r="N240" s="899">
        <f t="shared" si="47" ref="N240:N250">+$N$253/12</f>
        <v>0</v>
      </c>
      <c r="O240" s="899"/>
      <c r="P240" s="903">
        <f t="shared" si="48" ref="P240:P250">+F240*-1-N240</f>
        <v>0</v>
      </c>
    </row>
    <row r="241" spans="1:16" ht="12.75">
      <c r="A241" s="5">
        <v>232</v>
      </c>
      <c r="B241" s="897" t="s">
        <v>748</v>
      </c>
      <c r="C241" s="836"/>
      <c r="D241" s="836" t="s">
        <v>1172</v>
      </c>
      <c r="E241" s="836"/>
      <c r="F241" s="899">
        <f t="shared" si="49" ref="F241:F250">+F240-($F$239/12)</f>
        <v>0</v>
      </c>
      <c r="G241" s="874"/>
      <c r="H241" s="900">
        <f t="shared" si="45"/>
        <v>0</v>
      </c>
      <c r="I241" s="901"/>
      <c r="J241" s="836"/>
      <c r="K241" s="836"/>
      <c r="L241" s="899">
        <f t="shared" si="46"/>
        <v>0</v>
      </c>
      <c r="M241" s="899"/>
      <c r="N241" s="899">
        <f t="shared" si="47"/>
        <v>0</v>
      </c>
      <c r="O241" s="899"/>
      <c r="P241" s="903">
        <f t="shared" si="48"/>
        <v>0</v>
      </c>
    </row>
    <row r="242" spans="1:16" ht="12.75">
      <c r="A242" s="5">
        <v>233</v>
      </c>
      <c r="B242" s="897" t="s">
        <v>210</v>
      </c>
      <c r="C242" s="836"/>
      <c r="D242" s="836" t="s">
        <v>1172</v>
      </c>
      <c r="E242" s="836"/>
      <c r="F242" s="899">
        <f t="shared" si="49"/>
        <v>0</v>
      </c>
      <c r="G242" s="874"/>
      <c r="H242" s="900">
        <f t="shared" si="45"/>
        <v>0</v>
      </c>
      <c r="I242" s="901"/>
      <c r="J242" s="836"/>
      <c r="K242" s="836"/>
      <c r="L242" s="899">
        <f t="shared" si="46"/>
        <v>0</v>
      </c>
      <c r="M242" s="899"/>
      <c r="N242" s="899">
        <f t="shared" si="47"/>
        <v>0</v>
      </c>
      <c r="O242" s="899"/>
      <c r="P242" s="903">
        <f t="shared" si="48"/>
        <v>0</v>
      </c>
    </row>
    <row r="243" spans="1:16" ht="12.75">
      <c r="A243" s="5">
        <v>234</v>
      </c>
      <c r="B243" s="897" t="s">
        <v>211</v>
      </c>
      <c r="C243" s="836"/>
      <c r="D243" s="836" t="s">
        <v>1172</v>
      </c>
      <c r="E243" s="836"/>
      <c r="F243" s="899">
        <f t="shared" si="49"/>
        <v>0</v>
      </c>
      <c r="G243" s="874"/>
      <c r="H243" s="900">
        <f t="shared" si="45"/>
        <v>0</v>
      </c>
      <c r="I243" s="901"/>
      <c r="J243" s="836"/>
      <c r="K243" s="836"/>
      <c r="L243" s="899">
        <f t="shared" si="46"/>
        <v>0</v>
      </c>
      <c r="M243" s="899"/>
      <c r="N243" s="899">
        <f t="shared" si="47"/>
        <v>0</v>
      </c>
      <c r="O243" s="899"/>
      <c r="P243" s="903">
        <f t="shared" si="48"/>
        <v>0</v>
      </c>
    </row>
    <row r="244" spans="1:16" ht="12.75">
      <c r="A244" s="5">
        <v>235</v>
      </c>
      <c r="B244" s="897" t="s">
        <v>212</v>
      </c>
      <c r="C244" s="836"/>
      <c r="D244" s="836" t="s">
        <v>1172</v>
      </c>
      <c r="E244" s="836"/>
      <c r="F244" s="899">
        <f t="shared" si="49"/>
        <v>0</v>
      </c>
      <c r="G244" s="874"/>
      <c r="H244" s="900">
        <f t="shared" si="45"/>
        <v>0</v>
      </c>
      <c r="I244" s="901"/>
      <c r="J244" s="836"/>
      <c r="K244" s="836"/>
      <c r="L244" s="899">
        <f t="shared" si="46"/>
        <v>0</v>
      </c>
      <c r="M244" s="899"/>
      <c r="N244" s="899">
        <f t="shared" si="47"/>
        <v>0</v>
      </c>
      <c r="O244" s="899"/>
      <c r="P244" s="903">
        <f t="shared" si="48"/>
        <v>0</v>
      </c>
    </row>
    <row r="245" spans="1:16" ht="12.75">
      <c r="A245" s="5">
        <v>236</v>
      </c>
      <c r="B245" s="897" t="s">
        <v>213</v>
      </c>
      <c r="C245" s="836"/>
      <c r="D245" s="836" t="s">
        <v>1172</v>
      </c>
      <c r="E245" s="836"/>
      <c r="F245" s="899">
        <f t="shared" si="49"/>
        <v>0</v>
      </c>
      <c r="G245" s="874"/>
      <c r="H245" s="900">
        <f t="shared" si="45"/>
        <v>0</v>
      </c>
      <c r="I245" s="901"/>
      <c r="J245" s="836"/>
      <c r="K245" s="836"/>
      <c r="L245" s="899">
        <f t="shared" si="46"/>
        <v>0</v>
      </c>
      <c r="M245" s="899"/>
      <c r="N245" s="899">
        <f t="shared" si="47"/>
        <v>0</v>
      </c>
      <c r="O245" s="899"/>
      <c r="P245" s="903">
        <f t="shared" si="48"/>
        <v>0</v>
      </c>
    </row>
    <row r="246" spans="1:16" ht="12.75">
      <c r="A246" s="5">
        <v>237</v>
      </c>
      <c r="B246" s="897" t="s">
        <v>750</v>
      </c>
      <c r="C246" s="836"/>
      <c r="D246" s="836" t="s">
        <v>1172</v>
      </c>
      <c r="E246" s="836"/>
      <c r="F246" s="899">
        <f t="shared" si="49"/>
        <v>0</v>
      </c>
      <c r="G246" s="874"/>
      <c r="H246" s="900">
        <f t="shared" si="45"/>
        <v>0</v>
      </c>
      <c r="I246" s="901"/>
      <c r="J246" s="836"/>
      <c r="K246" s="836"/>
      <c r="L246" s="899">
        <f t="shared" si="46"/>
        <v>0</v>
      </c>
      <c r="M246" s="899"/>
      <c r="N246" s="899">
        <f t="shared" si="47"/>
        <v>0</v>
      </c>
      <c r="O246" s="899"/>
      <c r="P246" s="903">
        <f t="shared" si="48"/>
        <v>0</v>
      </c>
    </row>
    <row r="247" spans="1:16" ht="12.75">
      <c r="A247" s="5">
        <v>238</v>
      </c>
      <c r="B247" s="897" t="s">
        <v>215</v>
      </c>
      <c r="C247" s="836"/>
      <c r="D247" s="836" t="s">
        <v>1172</v>
      </c>
      <c r="E247" s="836"/>
      <c r="F247" s="899">
        <f t="shared" si="49"/>
        <v>0</v>
      </c>
      <c r="G247" s="874"/>
      <c r="H247" s="900">
        <f t="shared" si="45"/>
        <v>0</v>
      </c>
      <c r="I247" s="901"/>
      <c r="J247" s="836"/>
      <c r="K247" s="836"/>
      <c r="L247" s="899">
        <f t="shared" si="46"/>
        <v>0</v>
      </c>
      <c r="M247" s="899"/>
      <c r="N247" s="899">
        <f t="shared" si="47"/>
        <v>0</v>
      </c>
      <c r="O247" s="899"/>
      <c r="P247" s="903">
        <f t="shared" si="48"/>
        <v>0</v>
      </c>
    </row>
    <row r="248" spans="1:16" ht="12.75">
      <c r="A248" s="5">
        <v>239</v>
      </c>
      <c r="B248" s="897" t="s">
        <v>216</v>
      </c>
      <c r="C248" s="836"/>
      <c r="D248" s="836" t="s">
        <v>1172</v>
      </c>
      <c r="E248" s="836"/>
      <c r="F248" s="899">
        <f t="shared" si="49"/>
        <v>0</v>
      </c>
      <c r="G248" s="874"/>
      <c r="H248" s="900">
        <f t="shared" si="45"/>
        <v>0</v>
      </c>
      <c r="I248" s="901"/>
      <c r="J248" s="836"/>
      <c r="K248" s="836"/>
      <c r="L248" s="899">
        <f t="shared" si="46"/>
        <v>0</v>
      </c>
      <c r="M248" s="899"/>
      <c r="N248" s="899">
        <f t="shared" si="47"/>
        <v>0</v>
      </c>
      <c r="O248" s="899"/>
      <c r="P248" s="903">
        <f t="shared" si="48"/>
        <v>0</v>
      </c>
    </row>
    <row r="249" spans="1:16" ht="12.75">
      <c r="A249" s="5">
        <v>240</v>
      </c>
      <c r="B249" s="897" t="s">
        <v>217</v>
      </c>
      <c r="C249" s="836"/>
      <c r="D249" s="836" t="s">
        <v>1172</v>
      </c>
      <c r="E249" s="836"/>
      <c r="F249" s="899">
        <f t="shared" si="49"/>
        <v>0</v>
      </c>
      <c r="G249" s="874"/>
      <c r="H249" s="900">
        <f t="shared" si="45"/>
        <v>0</v>
      </c>
      <c r="I249" s="901"/>
      <c r="J249" s="836"/>
      <c r="K249" s="836"/>
      <c r="L249" s="899">
        <f t="shared" si="46"/>
        <v>0</v>
      </c>
      <c r="M249" s="899"/>
      <c r="N249" s="899">
        <f t="shared" si="47"/>
        <v>0</v>
      </c>
      <c r="O249" s="899"/>
      <c r="P249" s="903">
        <f t="shared" si="48"/>
        <v>0</v>
      </c>
    </row>
    <row r="250" spans="1:16" ht="15">
      <c r="A250" s="5">
        <v>241</v>
      </c>
      <c r="B250" s="897" t="s">
        <v>751</v>
      </c>
      <c r="C250" s="836"/>
      <c r="D250" s="836" t="s">
        <v>1172</v>
      </c>
      <c r="E250" s="836"/>
      <c r="F250" s="899">
        <f t="shared" si="49"/>
        <v>0</v>
      </c>
      <c r="G250" s="874"/>
      <c r="H250" s="900">
        <f t="shared" si="45"/>
        <v>0</v>
      </c>
      <c r="I250" s="901"/>
      <c r="J250" s="836"/>
      <c r="K250" s="836"/>
      <c r="L250" s="916">
        <f t="shared" si="46"/>
        <v>0</v>
      </c>
      <c r="M250" s="899"/>
      <c r="N250" s="899">
        <f t="shared" si="47"/>
        <v>0</v>
      </c>
      <c r="O250" s="899"/>
      <c r="P250" s="903">
        <f t="shared" si="48"/>
        <v>0</v>
      </c>
    </row>
    <row r="251" spans="1:16" ht="12.75">
      <c r="A251" s="5">
        <v>242</v>
      </c>
      <c r="B251" s="897"/>
      <c r="C251" s="836"/>
      <c r="D251" s="836"/>
      <c r="E251" s="836"/>
      <c r="F251" s="874"/>
      <c r="G251" s="874"/>
      <c r="H251" s="901"/>
      <c r="I251" s="901"/>
      <c r="J251" s="836"/>
      <c r="K251" s="836"/>
      <c r="L251" s="899">
        <f>+SUM(L239:L250)</f>
        <v>0</v>
      </c>
      <c r="M251" s="899"/>
      <c r="N251" s="899"/>
      <c r="O251" s="899"/>
      <c r="P251" s="903"/>
    </row>
    <row r="252" spans="1:16" ht="12.75">
      <c r="A252" s="5">
        <v>243</v>
      </c>
      <c r="B252" s="354"/>
      <c r="P252" s="716"/>
    </row>
    <row r="253" spans="1:16" ht="12.75">
      <c r="A253" s="5">
        <v>244</v>
      </c>
      <c r="B253" s="897" t="s">
        <v>1199</v>
      </c>
      <c r="C253" s="836"/>
      <c r="F253" s="1" t="s">
        <v>1200</v>
      </c>
      <c r="N253" s="711">
        <f>+F239*-1+L251</f>
        <v>0</v>
      </c>
      <c r="P253" s="716"/>
    </row>
    <row r="254" spans="1:16" ht="12.75">
      <c r="A254" s="5">
        <v>245</v>
      </c>
      <c r="B254" s="897" t="s">
        <v>1175</v>
      </c>
      <c r="C254" s="836"/>
      <c r="F254" s="1" t="s">
        <v>1201</v>
      </c>
      <c r="N254" s="711"/>
      <c r="P254" s="716"/>
    </row>
    <row r="255" spans="1:16" ht="12.75">
      <c r="A255" s="5">
        <v>246</v>
      </c>
      <c r="B255" s="912" t="s">
        <v>1177</v>
      </c>
      <c r="C255" s="913"/>
      <c r="D255" s="170"/>
      <c r="E255" s="170"/>
      <c r="F255" s="170" t="s">
        <v>1202</v>
      </c>
      <c r="G255" s="170"/>
      <c r="H255" s="170"/>
      <c r="I255" s="170"/>
      <c r="J255" s="170"/>
      <c r="K255" s="170"/>
      <c r="L255" s="170"/>
      <c r="M255" s="170"/>
      <c r="N255" s="724"/>
      <c r="O255" s="170"/>
      <c r="P255" s="171"/>
    </row>
  </sheetData>
  <mergeCells count="1">
    <mergeCell ref="B4:N4"/>
  </mergeCells>
  <pageMargins left="0.25" right="0.25" top="0.75" bottom="0.75" header="0.3" footer="0.3"/>
  <pageSetup fitToHeight="3" orientation="landscape" scale="43" r:id="rId1"/>
  <rowBreaks count="2" manualBreakCount="2">
    <brk id="74" max="16383" man="1"/>
    <brk id="166"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83D89-F047-4F7E-8D7B-F3E172021253}">
  <dimension ref="A1:D78"/>
  <sheetViews>
    <sheetView view="pageBreakPreview" zoomScaleNormal="100" zoomScaleSheetLayoutView="100" workbookViewId="0" topLeftCell="A1"/>
  </sheetViews>
  <sheetFormatPr defaultColWidth="11.4255555555556" defaultRowHeight="13.2"/>
  <cols>
    <col min="1" max="1" width="20" style="161" bestFit="1" customWidth="1"/>
    <col min="2" max="2" width="43.5555555555556" style="1" customWidth="1"/>
    <col min="3" max="3" width="25.4444444444444" style="111" bestFit="1" customWidth="1"/>
    <col min="4" max="4" width="21" style="1" customWidth="1"/>
    <col min="5" max="16384" width="11.4444444444444" style="1"/>
  </cols>
  <sheetData>
    <row r="1" spans="2:4" ht="15" customHeight="1">
      <c r="B1" s="6" t="s">
        <v>1203</v>
      </c>
      <c r="C1" s="919" t="s">
        <v>240</v>
      </c>
      <c r="D1" s="157"/>
    </row>
    <row r="2" spans="2:4" ht="15" customHeight="1">
      <c r="B2" s="120" t="s">
        <v>1204</v>
      </c>
      <c r="C2" s="161"/>
      <c r="D2" s="161"/>
    </row>
    <row r="3" spans="2:4" ht="15" customHeight="1">
      <c r="B3" s="920" t="str">
        <f>+'Attachment H'!D5</f>
        <v>GridLiance High Plains LLC</v>
      </c>
      <c r="D3" s="111"/>
    </row>
    <row r="5" spans="1:4" ht="15">
      <c r="A5" s="921" t="s">
        <v>1205</v>
      </c>
      <c r="B5" s="922" t="s">
        <v>1206</v>
      </c>
      <c r="C5" s="922" t="s">
        <v>1207</v>
      </c>
      <c r="D5" s="923"/>
    </row>
    <row r="6" spans="1:4" ht="15">
      <c r="A6" s="923"/>
      <c r="B6" s="923"/>
      <c r="C6" s="923"/>
      <c r="D6" s="923"/>
    </row>
    <row r="7" spans="1:4" ht="15">
      <c r="A7" s="921" t="s">
        <v>1208</v>
      </c>
      <c r="B7" s="924"/>
      <c r="C7" s="925"/>
      <c r="D7" s="924"/>
    </row>
    <row r="8" spans="1:4" ht="15">
      <c r="A8" s="926">
        <v>350</v>
      </c>
      <c r="B8" s="924" t="s">
        <v>1209</v>
      </c>
      <c r="C8" s="927" t="s">
        <v>1210</v>
      </c>
      <c r="D8" s="924"/>
    </row>
    <row r="9" spans="1:4" ht="15">
      <c r="A9" s="926">
        <v>352</v>
      </c>
      <c r="B9" s="924" t="s">
        <v>1211</v>
      </c>
      <c r="C9" s="927">
        <v>0.015396999999999999</v>
      </c>
      <c r="D9" s="924"/>
    </row>
    <row r="10" spans="1:4" ht="15">
      <c r="A10" s="926">
        <v>353</v>
      </c>
      <c r="B10" s="924" t="s">
        <v>1212</v>
      </c>
      <c r="C10" s="927">
        <v>0.020285000000000001</v>
      </c>
      <c r="D10" s="924"/>
    </row>
    <row r="11" spans="1:4" ht="15">
      <c r="A11" s="926">
        <v>354</v>
      </c>
      <c r="B11" s="924" t="s">
        <v>1213</v>
      </c>
      <c r="C11" s="927">
        <v>0.018846999999999999</v>
      </c>
      <c r="D11" s="924"/>
    </row>
    <row r="12" spans="1:4" ht="15">
      <c r="A12" s="926">
        <v>355</v>
      </c>
      <c r="B12" s="924" t="s">
        <v>1214</v>
      </c>
      <c r="C12" s="927">
        <v>0.021496000000000001</v>
      </c>
      <c r="D12" s="924"/>
    </row>
    <row r="13" spans="1:4" ht="15">
      <c r="A13" s="926">
        <v>356</v>
      </c>
      <c r="B13" s="924" t="s">
        <v>1215</v>
      </c>
      <c r="C13" s="927">
        <v>0.020972999999999999</v>
      </c>
      <c r="D13" s="924"/>
    </row>
    <row r="14" spans="1:4" ht="15">
      <c r="A14" s="926">
        <v>357</v>
      </c>
      <c r="B14" s="924" t="s">
        <v>1216</v>
      </c>
      <c r="C14" s="927">
        <v>0.013665</v>
      </c>
      <c r="D14" s="924"/>
    </row>
    <row r="15" spans="1:4" ht="15">
      <c r="A15" s="926">
        <v>358</v>
      </c>
      <c r="B15" s="924" t="s">
        <v>1217</v>
      </c>
      <c r="C15" s="927">
        <v>0.018415999999999998</v>
      </c>
      <c r="D15" s="924"/>
    </row>
    <row r="16" spans="1:4" ht="15">
      <c r="A16" s="926">
        <v>359</v>
      </c>
      <c r="B16" s="924" t="s">
        <v>1218</v>
      </c>
      <c r="C16" s="927">
        <v>0</v>
      </c>
      <c r="D16" s="924"/>
    </row>
    <row r="17" spans="1:4" ht="15">
      <c r="A17" s="926"/>
      <c r="B17" s="924"/>
      <c r="C17" s="927"/>
      <c r="D17" s="924"/>
    </row>
    <row r="18" spans="1:4" ht="15">
      <c r="A18" s="928" t="s">
        <v>1219</v>
      </c>
      <c r="B18" s="924"/>
      <c r="C18" s="929"/>
      <c r="D18" s="924"/>
    </row>
    <row r="19" spans="1:4" ht="15">
      <c r="A19" s="926">
        <v>302</v>
      </c>
      <c r="B19" s="924" t="s">
        <v>1220</v>
      </c>
      <c r="C19" s="927" t="s">
        <v>1210</v>
      </c>
      <c r="D19" s="924"/>
    </row>
    <row r="20" spans="1:4" ht="15">
      <c r="A20" s="926">
        <v>303</v>
      </c>
      <c r="B20" s="924" t="s">
        <v>1221</v>
      </c>
      <c r="C20" s="927">
        <v>0.20000000000000001</v>
      </c>
      <c r="D20" s="924"/>
    </row>
    <row r="21" spans="1:4" ht="15">
      <c r="A21" s="926">
        <v>390</v>
      </c>
      <c r="B21" s="930" t="s">
        <v>1211</v>
      </c>
      <c r="C21" s="927">
        <v>0.021194000000000001</v>
      </c>
      <c r="D21" s="924"/>
    </row>
    <row r="22" spans="1:4" ht="15">
      <c r="A22" s="926">
        <v>391</v>
      </c>
      <c r="B22" s="930" t="s">
        <v>1222</v>
      </c>
      <c r="C22" s="927">
        <v>0.050671000000000001</v>
      </c>
      <c r="D22" s="924"/>
    </row>
    <row r="23" spans="1:4" ht="15">
      <c r="A23" s="926">
        <v>391</v>
      </c>
      <c r="B23" s="930" t="s">
        <v>1223</v>
      </c>
      <c r="C23" s="927">
        <v>0.25</v>
      </c>
      <c r="D23" s="924"/>
    </row>
    <row r="24" spans="1:4" ht="15">
      <c r="A24" s="926">
        <v>392</v>
      </c>
      <c r="B24" s="930" t="s">
        <v>1224</v>
      </c>
      <c r="C24" s="927">
        <v>0.109667</v>
      </c>
      <c r="D24" s="924"/>
    </row>
    <row r="25" spans="1:4" ht="15">
      <c r="A25" s="926">
        <v>392</v>
      </c>
      <c r="B25" s="930" t="s">
        <v>1225</v>
      </c>
      <c r="C25" s="927">
        <v>0.084139000000000005</v>
      </c>
      <c r="D25" s="924"/>
    </row>
    <row r="26" spans="1:4" ht="15">
      <c r="A26" s="926">
        <v>392</v>
      </c>
      <c r="B26" s="930" t="s">
        <v>1226</v>
      </c>
      <c r="C26" s="927">
        <v>0.069486000000000006</v>
      </c>
      <c r="D26" s="924"/>
    </row>
    <row r="27" spans="1:4" ht="15">
      <c r="A27" s="926">
        <v>392</v>
      </c>
      <c r="B27" s="930" t="s">
        <v>1227</v>
      </c>
      <c r="C27" s="927">
        <v>0.072363999999999998</v>
      </c>
      <c r="D27" s="924"/>
    </row>
    <row r="28" spans="1:4" ht="15">
      <c r="A28" s="926">
        <v>393</v>
      </c>
      <c r="B28" s="930" t="s">
        <v>1228</v>
      </c>
      <c r="C28" s="927">
        <v>0.050000000000000003</v>
      </c>
      <c r="D28" s="924"/>
    </row>
    <row r="29" spans="1:4" ht="15">
      <c r="A29" s="926">
        <v>394</v>
      </c>
      <c r="B29" s="930" t="s">
        <v>1229</v>
      </c>
      <c r="C29" s="927">
        <v>0.066671999999999995</v>
      </c>
      <c r="D29" s="924"/>
    </row>
    <row r="30" spans="1:4" ht="15">
      <c r="A30" s="926">
        <v>395</v>
      </c>
      <c r="B30" s="930" t="s">
        <v>1230</v>
      </c>
      <c r="C30" s="927">
        <v>0.10000000000000001</v>
      </c>
      <c r="D30" s="924"/>
    </row>
    <row r="31" spans="1:4" ht="15">
      <c r="A31" s="926">
        <v>396</v>
      </c>
      <c r="B31" s="930" t="s">
        <v>1231</v>
      </c>
      <c r="C31" s="927">
        <v>0.084139000000000005</v>
      </c>
      <c r="D31" s="924"/>
    </row>
    <row r="32" spans="1:4" ht="15">
      <c r="A32" s="926">
        <v>397</v>
      </c>
      <c r="B32" s="924" t="s">
        <v>1232</v>
      </c>
      <c r="C32" s="927">
        <v>0.11111</v>
      </c>
      <c r="D32" s="924"/>
    </row>
    <row r="33" spans="1:4" ht="15">
      <c r="A33" s="926">
        <v>398</v>
      </c>
      <c r="B33" s="930" t="s">
        <v>1233</v>
      </c>
      <c r="C33" s="927">
        <v>0.066671999999999995</v>
      </c>
      <c r="D33" s="924"/>
    </row>
    <row r="34" spans="1:4" ht="15">
      <c r="A34" s="924"/>
      <c r="B34" s="924"/>
      <c r="C34" s="924"/>
      <c r="D34" s="924"/>
    </row>
    <row r="35" spans="1:4" ht="15">
      <c r="A35" s="931" t="s">
        <v>1234</v>
      </c>
      <c r="B35" s="924"/>
      <c r="C35" s="924"/>
      <c r="D35" s="924"/>
    </row>
    <row r="36" spans="1:4" ht="15">
      <c r="A36" s="924" t="s">
        <v>1235</v>
      </c>
      <c r="B36" s="924"/>
      <c r="C36" s="924"/>
      <c r="D36" s="924"/>
    </row>
    <row r="37" spans="1:4" ht="15">
      <c r="A37" s="931" t="s">
        <v>1236</v>
      </c>
      <c r="B37" s="924"/>
      <c r="C37" s="930"/>
      <c r="D37" s="930"/>
    </row>
    <row r="38" spans="1:4" ht="15">
      <c r="A38" s="931" t="s">
        <v>1237</v>
      </c>
      <c r="B38" s="932"/>
      <c r="C38" s="924"/>
      <c r="D38" s="933"/>
    </row>
    <row r="39" spans="1:3" ht="15">
      <c r="A39" s="1092" t="s">
        <v>1238</v>
      </c>
      <c r="B39" s="1093"/>
      <c r="C39" s="1093"/>
    </row>
    <row r="40" spans="1:3" ht="15">
      <c r="A40" s="934" t="s">
        <v>1239</v>
      </c>
      <c r="B40" s="935"/>
      <c r="C40" s="936"/>
    </row>
    <row r="41" spans="1:3" ht="12.75">
      <c r="A41" s="937"/>
      <c r="B41" s="118"/>
      <c r="C41" s="920"/>
    </row>
    <row r="42" spans="1:3" ht="12.75">
      <c r="A42" s="938"/>
      <c r="B42" s="118"/>
      <c r="C42" s="920"/>
    </row>
    <row r="43" spans="1:3" ht="12.75">
      <c r="A43" s="937"/>
      <c r="B43" s="118"/>
      <c r="C43" s="920"/>
    </row>
    <row r="44" spans="1:3" ht="12.75">
      <c r="A44" s="937"/>
      <c r="B44" s="118"/>
      <c r="C44" s="920"/>
    </row>
    <row r="45" spans="1:3" ht="12.75">
      <c r="A45" s="937"/>
      <c r="B45" s="118"/>
      <c r="C45" s="920"/>
    </row>
    <row r="46" spans="1:3" ht="12.75">
      <c r="A46" s="937"/>
      <c r="B46" s="118"/>
      <c r="C46" s="920"/>
    </row>
    <row r="47" spans="1:3" ht="12.75">
      <c r="A47" s="937"/>
      <c r="B47" s="118"/>
      <c r="C47" s="920"/>
    </row>
    <row r="48" spans="1:3" ht="12.75">
      <c r="A48" s="937"/>
      <c r="B48" s="118"/>
      <c r="C48" s="920"/>
    </row>
    <row r="49" spans="1:3" ht="12.75">
      <c r="A49" s="937"/>
      <c r="B49" s="118"/>
      <c r="C49" s="920"/>
    </row>
    <row r="50" spans="1:3" ht="12.75">
      <c r="A50" s="937"/>
      <c r="B50" s="118"/>
      <c r="C50" s="920"/>
    </row>
    <row r="51" spans="1:3" ht="12.75">
      <c r="A51" s="937"/>
      <c r="B51" s="118"/>
      <c r="C51" s="920"/>
    </row>
    <row r="52" spans="1:3" ht="12.75">
      <c r="A52" s="937"/>
      <c r="B52" s="118"/>
      <c r="C52" s="920"/>
    </row>
    <row r="53" spans="1:3" ht="12.75">
      <c r="A53" s="937"/>
      <c r="B53" s="118"/>
      <c r="C53" s="920"/>
    </row>
    <row r="54" spans="1:3" ht="12.75">
      <c r="A54" s="937"/>
      <c r="B54" s="118"/>
      <c r="C54" s="920"/>
    </row>
    <row r="55" spans="1:2" ht="12.75">
      <c r="A55" s="937"/>
      <c r="B55" s="118"/>
    </row>
    <row r="56" spans="1:2" ht="12.75">
      <c r="A56" s="939"/>
      <c r="B56" s="118"/>
    </row>
    <row r="57" spans="1:2" ht="12.75">
      <c r="A57" s="939"/>
      <c r="B57" s="118"/>
    </row>
    <row r="58" spans="1:1" ht="12.75">
      <c r="A58" s="939"/>
    </row>
    <row r="59" spans="1:1" ht="12.75">
      <c r="A59" s="939"/>
    </row>
    <row r="60" spans="1:1" ht="12.75">
      <c r="A60" s="939"/>
    </row>
    <row r="61" spans="1:1" ht="12.75">
      <c r="A61" s="939"/>
    </row>
    <row r="62" spans="1:1" ht="12.75">
      <c r="A62" s="939"/>
    </row>
    <row r="63" spans="1:1" ht="12.75">
      <c r="A63" s="939"/>
    </row>
    <row r="64" spans="1:1" ht="12.75">
      <c r="A64" s="939"/>
    </row>
    <row r="65" spans="1:1" ht="12.75">
      <c r="A65" s="939"/>
    </row>
    <row r="66" spans="1:1" ht="12.75">
      <c r="A66" s="939"/>
    </row>
    <row r="67" spans="1:1" ht="12.75">
      <c r="A67" s="939"/>
    </row>
    <row r="68" spans="1:1" ht="24" customHeight="1">
      <c r="A68" s="939"/>
    </row>
    <row r="69" spans="1:1" ht="12.75">
      <c r="A69" s="939"/>
    </row>
    <row r="70" spans="1:1" ht="12.75">
      <c r="A70" s="939"/>
    </row>
    <row r="71" spans="1:1" ht="12.75">
      <c r="A71" s="939"/>
    </row>
    <row r="72" spans="1:1" ht="12.75">
      <c r="A72" s="939"/>
    </row>
    <row r="73" spans="1:1" ht="12.75">
      <c r="A73" s="939"/>
    </row>
    <row r="74" spans="1:1" ht="12.75">
      <c r="A74" s="939"/>
    </row>
    <row r="75" spans="1:1" ht="12.75">
      <c r="A75" s="939"/>
    </row>
    <row r="76" spans="1:1" ht="12.75">
      <c r="A76" s="939"/>
    </row>
    <row r="77" spans="1:1" ht="12.75">
      <c r="A77" s="939"/>
    </row>
    <row r="78" spans="1:1" ht="12.75">
      <c r="A78" s="939"/>
    </row>
  </sheetData>
  <mergeCells count="1">
    <mergeCell ref="A39:C39"/>
  </mergeCells>
  <pageMargins left="0.25" right="0.25" top="0.75" bottom="0.75" header="0.3" footer="0.3"/>
  <pageSetup orientation="landscape" scale="4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7BD3-1D71-47E2-8D99-FFE69DA0D016}">
  <sheetPr>
    <pageSetUpPr fitToPage="1"/>
  </sheetPr>
  <dimension ref="A2:R92"/>
  <sheetViews>
    <sheetView view="pageBreakPreview" zoomScaleNormal="85" zoomScaleSheetLayoutView="100" workbookViewId="0" topLeftCell="A1"/>
  </sheetViews>
  <sheetFormatPr defaultColWidth="11.2855555555556" defaultRowHeight="15"/>
  <cols>
    <col min="1" max="1" width="7.55555555555556" style="940" bestFit="1" customWidth="1"/>
    <col min="2" max="2" width="61.4444444444444" style="940" customWidth="1"/>
    <col min="3" max="3" width="6.55555555555556" style="940" bestFit="1" customWidth="1"/>
    <col min="4" max="4" width="22.6666666666667" style="940" bestFit="1" customWidth="1"/>
    <col min="5" max="13" width="13.4444444444444" style="940" customWidth="1"/>
    <col min="14" max="14" width="13.3333333333333" style="940" bestFit="1" customWidth="1"/>
    <col min="15" max="15" width="25.3333333333333" style="940" bestFit="1" customWidth="1"/>
    <col min="16" max="16" width="11.8888888888889" style="940" bestFit="1" customWidth="1"/>
    <col min="17" max="17" width="11.3333333333333" style="940"/>
    <col min="18" max="18" width="11.8888888888889" style="940" bestFit="1" customWidth="1"/>
    <col min="19" max="16384" width="11.3333333333333" style="940"/>
  </cols>
  <sheetData>
    <row r="2" spans="13:13" ht="15">
      <c r="M2" s="941" t="s">
        <v>1240</v>
      </c>
    </row>
    <row r="3" spans="7:7" ht="15">
      <c r="G3" s="942" t="s">
        <v>1241</v>
      </c>
    </row>
    <row r="4" spans="7:7" ht="15">
      <c r="G4" s="943" t="s">
        <v>1242</v>
      </c>
    </row>
    <row r="5" spans="7:7" ht="15">
      <c r="G5" s="944" t="s">
        <v>243</v>
      </c>
    </row>
    <row r="6" spans="7:7" ht="15">
      <c r="G6" s="945" t="s">
        <v>1243</v>
      </c>
    </row>
    <row r="7" spans="7:7" ht="15">
      <c r="G7" s="946"/>
    </row>
    <row r="8" spans="2:14" ht="15">
      <c r="B8" s="947" t="s">
        <v>27</v>
      </c>
      <c r="C8" s="947" t="s">
        <v>28</v>
      </c>
      <c r="D8" s="947" t="s">
        <v>29</v>
      </c>
      <c r="E8" s="947" t="s">
        <v>31</v>
      </c>
      <c r="F8" s="947" t="s">
        <v>32</v>
      </c>
      <c r="G8" s="947">
        <v>-6</v>
      </c>
      <c r="H8" s="947" t="s">
        <v>1244</v>
      </c>
      <c r="I8" s="947" t="s">
        <v>1245</v>
      </c>
      <c r="J8" s="947" t="s">
        <v>1246</v>
      </c>
      <c r="K8" s="947" t="s">
        <v>1247</v>
      </c>
      <c r="L8" s="947" t="s">
        <v>1248</v>
      </c>
      <c r="M8" s="947" t="s">
        <v>1249</v>
      </c>
      <c r="N8" s="947" t="s">
        <v>1250</v>
      </c>
    </row>
    <row r="9" spans="1:14" ht="63.75">
      <c r="A9" s="948" t="s">
        <v>1</v>
      </c>
      <c r="B9" s="949" t="s">
        <v>943</v>
      </c>
      <c r="C9" s="948" t="s">
        <v>381</v>
      </c>
      <c r="D9" s="948" t="s">
        <v>36</v>
      </c>
      <c r="E9" s="949"/>
      <c r="F9" s="950" t="s">
        <v>1251</v>
      </c>
      <c r="G9" s="950" t="s">
        <v>1252</v>
      </c>
      <c r="H9" s="950" t="s">
        <v>1253</v>
      </c>
      <c r="I9" s="948" t="s">
        <v>1254</v>
      </c>
      <c r="J9" s="948" t="s">
        <v>1255</v>
      </c>
      <c r="K9" s="950" t="s">
        <v>1256</v>
      </c>
      <c r="L9" s="950" t="s">
        <v>1257</v>
      </c>
      <c r="M9" s="950" t="s">
        <v>1258</v>
      </c>
      <c r="N9" s="950" t="s">
        <v>1259</v>
      </c>
    </row>
    <row r="10" spans="1:14" ht="15">
      <c r="A10" s="951"/>
      <c r="B10" s="952" t="s">
        <v>197</v>
      </c>
      <c r="C10" s="952"/>
      <c r="D10" s="952"/>
      <c r="E10" s="952"/>
      <c r="F10" s="953" t="s">
        <v>198</v>
      </c>
      <c r="G10" s="953"/>
      <c r="H10" s="951" t="s">
        <v>199</v>
      </c>
      <c r="I10" s="953" t="s">
        <v>200</v>
      </c>
      <c r="J10" s="951" t="s">
        <v>201</v>
      </c>
      <c r="K10" s="951" t="s">
        <v>221</v>
      </c>
      <c r="L10" s="951" t="s">
        <v>223</v>
      </c>
      <c r="M10" s="951" t="s">
        <v>678</v>
      </c>
      <c r="N10" s="951"/>
    </row>
    <row r="11" spans="1:14" ht="15">
      <c r="A11" s="954"/>
      <c r="B11" s="952"/>
      <c r="C11" s="952"/>
      <c r="D11" s="951"/>
      <c r="E11" s="952"/>
      <c r="F11" s="954"/>
      <c r="G11" s="954"/>
      <c r="H11" s="954"/>
      <c r="I11" s="954"/>
      <c r="J11" s="954"/>
      <c r="K11" s="954"/>
      <c r="L11" s="954"/>
      <c r="M11" s="954"/>
      <c r="N11" s="954"/>
    </row>
    <row r="12" spans="1:14" ht="15">
      <c r="A12" s="951">
        <v>1</v>
      </c>
      <c r="B12" s="952" t="s">
        <v>1260</v>
      </c>
      <c r="C12" s="951" t="s">
        <v>794</v>
      </c>
      <c r="D12" s="953"/>
      <c r="E12" s="952"/>
      <c r="F12" s="955">
        <v>0.20999999999999999</v>
      </c>
      <c r="G12" s="955">
        <v>0.29599999999999999</v>
      </c>
      <c r="H12" s="955">
        <v>0.29599999999999999</v>
      </c>
      <c r="I12" s="955">
        <v>0.14999999999999999</v>
      </c>
      <c r="J12" s="955">
        <v>0.20999999999999999</v>
      </c>
      <c r="K12" s="955">
        <v>0.20999999999999999</v>
      </c>
      <c r="L12" s="956">
        <v>0</v>
      </c>
      <c r="M12" s="951"/>
      <c r="N12" s="951"/>
    </row>
    <row r="13" spans="1:14" ht="15">
      <c r="A13" s="951">
        <f>+A12+1</f>
        <v>2</v>
      </c>
      <c r="B13" s="952" t="s">
        <v>1261</v>
      </c>
      <c r="C13" s="953" t="s">
        <v>1262</v>
      </c>
      <c r="D13" s="953" t="s">
        <v>1263</v>
      </c>
      <c r="E13" s="952"/>
      <c r="F13" s="957">
        <f>+N45</f>
        <v>0.47155000000000002</v>
      </c>
      <c r="G13" s="957">
        <f>+N46</f>
        <v>0</v>
      </c>
      <c r="H13" s="958">
        <f>+N47</f>
        <v>0</v>
      </c>
      <c r="I13" s="958">
        <f>+N48</f>
        <v>0</v>
      </c>
      <c r="J13" s="958">
        <f>+N49</f>
        <v>0</v>
      </c>
      <c r="K13" s="958">
        <f>+N50</f>
        <v>0.061002199999999993</v>
      </c>
      <c r="L13" s="958">
        <f>+N51</f>
        <v>0.46744780000000002</v>
      </c>
      <c r="M13" s="959"/>
      <c r="N13" s="959"/>
    </row>
    <row r="14" spans="1:17" ht="15.75">
      <c r="A14" s="951">
        <f>+A13+1</f>
        <v>3</v>
      </c>
      <c r="B14" s="952" t="s">
        <v>1264</v>
      </c>
      <c r="C14" s="952"/>
      <c r="D14" s="953" t="str">
        <f>"(Line "&amp;A12&amp;" * Line "&amp;A13&amp;")"</f>
        <v>(Line 1 * Line 2)</v>
      </c>
      <c r="E14" s="952"/>
      <c r="F14" s="960">
        <f t="shared" si="0" ref="F14:L14">F12*F13</f>
        <v>0.099025500000000002</v>
      </c>
      <c r="G14" s="960">
        <f t="shared" si="0"/>
        <v>0</v>
      </c>
      <c r="H14" s="960">
        <f t="shared" si="0"/>
        <v>0</v>
      </c>
      <c r="I14" s="960">
        <f t="shared" si="0"/>
        <v>0</v>
      </c>
      <c r="J14" s="960">
        <f t="shared" si="0"/>
        <v>0</v>
      </c>
      <c r="K14" s="960">
        <f t="shared" si="0"/>
        <v>0.012810461999999998</v>
      </c>
      <c r="L14" s="960">
        <f t="shared" si="0"/>
        <v>0</v>
      </c>
      <c r="M14" s="961">
        <f>SUM(F14:L14)</f>
        <v>0.111835962</v>
      </c>
      <c r="N14" s="961"/>
      <c r="Q14" s="962"/>
    </row>
    <row r="15" spans="1:14" ht="15">
      <c r="A15" s="951"/>
      <c r="B15" s="952"/>
      <c r="C15" s="952"/>
      <c r="D15" s="953"/>
      <c r="E15" s="952"/>
      <c r="F15" s="960"/>
      <c r="G15" s="960"/>
      <c r="H15" s="960"/>
      <c r="I15" s="960"/>
      <c r="J15" s="960"/>
      <c r="K15" s="960"/>
      <c r="L15" s="960"/>
      <c r="M15" s="951"/>
      <c r="N15" s="951"/>
    </row>
    <row r="16" spans="1:14" ht="15">
      <c r="A16" s="951">
        <f>+A14+1</f>
        <v>4</v>
      </c>
      <c r="B16" s="952" t="s">
        <v>1265</v>
      </c>
      <c r="C16" s="951" t="s">
        <v>794</v>
      </c>
      <c r="D16" s="953" t="str">
        <f>"(Page 2, Col. "&amp;J84&amp;", Line "&amp;$A$91&amp;")"</f>
        <v>(Page 2, Col. (5), Line 6)</v>
      </c>
      <c r="E16" s="952"/>
      <c r="F16" s="960">
        <f>J91</f>
        <v>0.059999999999999998</v>
      </c>
      <c r="G16" s="960">
        <f>J91</f>
        <v>0.059999999999999998</v>
      </c>
      <c r="H16" s="956">
        <f>J91</f>
        <v>0.059999999999999998</v>
      </c>
      <c r="I16" s="956">
        <f>J91</f>
        <v>0.059999999999999998</v>
      </c>
      <c r="J16" s="960">
        <f>J91</f>
        <v>0.059999999999999998</v>
      </c>
      <c r="K16" s="960">
        <f>J91</f>
        <v>0.059999999999999998</v>
      </c>
      <c r="L16" s="960">
        <v>0</v>
      </c>
      <c r="M16" s="951"/>
      <c r="N16" s="951"/>
    </row>
    <row r="17" spans="1:14" ht="15">
      <c r="A17" s="951">
        <f>+A16+1</f>
        <v>5</v>
      </c>
      <c r="B17" s="952" t="s">
        <v>1261</v>
      </c>
      <c r="C17" s="953" t="s">
        <v>1262</v>
      </c>
      <c r="D17" s="953" t="s">
        <v>1263</v>
      </c>
      <c r="E17" s="952"/>
      <c r="F17" s="958">
        <f>+N45</f>
        <v>0.47155000000000002</v>
      </c>
      <c r="G17" s="958">
        <f>N46</f>
        <v>0</v>
      </c>
      <c r="H17" s="958">
        <f>+N47</f>
        <v>0</v>
      </c>
      <c r="I17" s="958">
        <f>+N48</f>
        <v>0</v>
      </c>
      <c r="J17" s="958">
        <f>+N49</f>
        <v>0</v>
      </c>
      <c r="K17" s="958">
        <f>+N50</f>
        <v>0.061002199999999993</v>
      </c>
      <c r="L17" s="958">
        <f>+N51</f>
        <v>0.46744780000000002</v>
      </c>
      <c r="M17" s="959"/>
      <c r="N17" s="959"/>
    </row>
    <row r="18" spans="1:17" ht="15.75">
      <c r="A18" s="951">
        <f>+A17+1</f>
        <v>6</v>
      </c>
      <c r="B18" s="952" t="s">
        <v>1266</v>
      </c>
      <c r="C18" s="952"/>
      <c r="D18" s="953" t="str">
        <f>"(Line "&amp;A16&amp;" * Line "&amp;A17&amp;")"</f>
        <v>(Line 4 * Line 5)</v>
      </c>
      <c r="E18" s="952"/>
      <c r="F18" s="960">
        <f t="shared" si="1" ref="F18:L18">F16*F17</f>
        <v>0.028292999999999999</v>
      </c>
      <c r="G18" s="960">
        <f t="shared" si="1"/>
        <v>0</v>
      </c>
      <c r="H18" s="960">
        <f t="shared" si="1"/>
        <v>0</v>
      </c>
      <c r="I18" s="960">
        <f t="shared" si="1"/>
        <v>0</v>
      </c>
      <c r="J18" s="960">
        <f t="shared" si="1"/>
        <v>0</v>
      </c>
      <c r="K18" s="960">
        <f t="shared" si="1"/>
        <v>0.0036601319999999995</v>
      </c>
      <c r="L18" s="960">
        <f t="shared" si="1"/>
        <v>0</v>
      </c>
      <c r="M18" s="961">
        <f>SUM(F18:L18)</f>
        <v>0.031953131999999995</v>
      </c>
      <c r="N18" s="961"/>
      <c r="Q18" s="962"/>
    </row>
    <row r="19" spans="1:14" ht="15">
      <c r="A19" s="951"/>
      <c r="B19" s="952"/>
      <c r="C19" s="952"/>
      <c r="D19" s="953"/>
      <c r="E19" s="952"/>
      <c r="F19" s="960"/>
      <c r="G19" s="960"/>
      <c r="H19" s="960"/>
      <c r="I19" s="960"/>
      <c r="J19" s="960"/>
      <c r="K19" s="960"/>
      <c r="L19" s="960"/>
      <c r="M19" s="951"/>
      <c r="N19" s="951"/>
    </row>
    <row r="20" spans="1:14" ht="15">
      <c r="A20" s="951">
        <f>+A18+1</f>
        <v>7</v>
      </c>
      <c r="B20" s="952" t="s">
        <v>1267</v>
      </c>
      <c r="C20" s="951" t="s">
        <v>300</v>
      </c>
      <c r="D20" s="953" t="s">
        <v>1268</v>
      </c>
      <c r="E20" s="952"/>
      <c r="F20" s="960">
        <f>$L$91</f>
        <v>0</v>
      </c>
      <c r="G20" s="960">
        <f t="shared" si="2" ref="G20:K20">$L$91</f>
        <v>0</v>
      </c>
      <c r="H20" s="960">
        <f t="shared" si="2"/>
        <v>0</v>
      </c>
      <c r="I20" s="960">
        <f t="shared" si="2"/>
        <v>0</v>
      </c>
      <c r="J20" s="960">
        <f t="shared" si="2"/>
        <v>0</v>
      </c>
      <c r="K20" s="960">
        <f t="shared" si="2"/>
        <v>0</v>
      </c>
      <c r="L20" s="960">
        <v>0</v>
      </c>
      <c r="M20" s="951"/>
      <c r="N20" s="951"/>
    </row>
    <row r="21" spans="1:14" ht="15">
      <c r="A21" s="951">
        <f>+A20+1</f>
        <v>8</v>
      </c>
      <c r="B21" s="952" t="s">
        <v>1261</v>
      </c>
      <c r="C21" s="953" t="s">
        <v>1262</v>
      </c>
      <c r="D21" s="953" t="s">
        <v>1263</v>
      </c>
      <c r="E21" s="952"/>
      <c r="F21" s="958">
        <f>+N45</f>
        <v>0.47155000000000002</v>
      </c>
      <c r="G21" s="958">
        <f>+N46</f>
        <v>0</v>
      </c>
      <c r="H21" s="958">
        <f>+N47</f>
        <v>0</v>
      </c>
      <c r="I21" s="958">
        <f>+N48</f>
        <v>0</v>
      </c>
      <c r="J21" s="958">
        <f>+N49</f>
        <v>0</v>
      </c>
      <c r="K21" s="958">
        <f>+N50</f>
        <v>0.061002199999999993</v>
      </c>
      <c r="L21" s="958">
        <f>+N51</f>
        <v>0.46744780000000002</v>
      </c>
      <c r="M21" s="959"/>
      <c r="N21" s="959"/>
    </row>
    <row r="22" spans="1:14" ht="15">
      <c r="A22" s="951">
        <f>+A21+1</f>
        <v>9</v>
      </c>
      <c r="B22" s="952" t="s">
        <v>1269</v>
      </c>
      <c r="C22" s="952"/>
      <c r="D22" s="953" t="str">
        <f>"(Line "&amp;A20&amp;" * Line "&amp;A21&amp;")"</f>
        <v>(Line 7 * Line 8)</v>
      </c>
      <c r="E22" s="952"/>
      <c r="F22" s="960">
        <f t="shared" si="3" ref="F22:L22">F20*F21</f>
        <v>0</v>
      </c>
      <c r="G22" s="960">
        <f t="shared" si="3"/>
        <v>0</v>
      </c>
      <c r="H22" s="960">
        <f t="shared" si="3"/>
        <v>0</v>
      </c>
      <c r="I22" s="960">
        <f t="shared" si="3"/>
        <v>0</v>
      </c>
      <c r="J22" s="960">
        <f t="shared" si="3"/>
        <v>0</v>
      </c>
      <c r="K22" s="960">
        <f t="shared" si="3"/>
        <v>0</v>
      </c>
      <c r="L22" s="960">
        <f t="shared" si="3"/>
        <v>0</v>
      </c>
      <c r="M22" s="961">
        <f>SUM(F22:L22)</f>
        <v>0</v>
      </c>
      <c r="N22" s="961"/>
    </row>
    <row r="23" spans="1:14" ht="15">
      <c r="A23" s="951"/>
      <c r="B23" s="952"/>
      <c r="C23" s="952"/>
      <c r="D23" s="953"/>
      <c r="E23" s="952"/>
      <c r="F23" s="954"/>
      <c r="G23" s="954"/>
      <c r="H23" s="954"/>
      <c r="I23" s="954"/>
      <c r="J23" s="954"/>
      <c r="K23" s="954"/>
      <c r="L23" s="954"/>
      <c r="N23" s="954"/>
    </row>
    <row r="24" spans="1:14" ht="15">
      <c r="A24" s="951">
        <f>+A22+1</f>
        <v>10</v>
      </c>
      <c r="B24" s="952" t="s">
        <v>1270</v>
      </c>
      <c r="C24" s="951" t="s">
        <v>1262</v>
      </c>
      <c r="D24" s="953" t="s">
        <v>1271</v>
      </c>
      <c r="E24" s="952"/>
      <c r="F24" s="960">
        <f>K57</f>
        <v>0.47122981146202531</v>
      </c>
      <c r="G24" s="960">
        <f>K58</f>
        <v>0</v>
      </c>
      <c r="H24" s="960">
        <f>K59</f>
        <v>0.00067901291056027139</v>
      </c>
      <c r="I24" s="960">
        <f>K60</f>
        <v>0</v>
      </c>
      <c r="J24" s="960">
        <f>K61</f>
        <v>0</v>
      </c>
      <c r="K24" s="960">
        <f>K62</f>
        <v>0.060960778718627415</v>
      </c>
      <c r="L24" s="960">
        <f>K63</f>
        <v>0.46713039690878705</v>
      </c>
      <c r="N24" s="961">
        <f>+SUM(F24:L24)</f>
        <v>1</v>
      </c>
    </row>
    <row r="25" spans="1:14" ht="15">
      <c r="A25" s="951"/>
      <c r="B25" s="952"/>
      <c r="C25" s="952"/>
      <c r="D25" s="953"/>
      <c r="E25" s="952"/>
      <c r="F25" s="960"/>
      <c r="G25" s="960"/>
      <c r="H25" s="960"/>
      <c r="I25" s="960"/>
      <c r="J25" s="960"/>
      <c r="K25" s="960"/>
      <c r="L25" s="963"/>
      <c r="M25" s="961"/>
      <c r="N25" s="961"/>
    </row>
    <row r="26" spans="1:14" ht="15">
      <c r="A26" s="951">
        <f>+A24+1</f>
        <v>11</v>
      </c>
      <c r="B26" s="952" t="s">
        <v>1272</v>
      </c>
      <c r="C26" s="951" t="s">
        <v>1273</v>
      </c>
      <c r="D26" s="953" t="str">
        <f>"(Line "&amp;A24&amp;", Col. "&amp;N8&amp;" - Col. "&amp;L8&amp;")"</f>
        <v>(Line 10, Col. (13) - Col. (11))</v>
      </c>
      <c r="E26" s="952"/>
      <c r="F26" s="960"/>
      <c r="G26" s="960"/>
      <c r="H26" s="960"/>
      <c r="I26" s="960"/>
      <c r="J26" s="960"/>
      <c r="K26" s="960"/>
      <c r="L26" s="963"/>
      <c r="M26" s="961"/>
      <c r="N26" s="964">
        <f>N24-L24</f>
        <v>0.53286960309121301</v>
      </c>
    </row>
    <row r="27" spans="1:14" ht="15">
      <c r="A27" s="951"/>
      <c r="B27" s="952"/>
      <c r="C27" s="952"/>
      <c r="D27" s="953"/>
      <c r="E27" s="952"/>
      <c r="F27" s="960"/>
      <c r="G27" s="960"/>
      <c r="H27" s="960"/>
      <c r="I27" s="960"/>
      <c r="J27" s="960"/>
      <c r="K27" s="960"/>
      <c r="L27" s="960"/>
      <c r="M27" s="954"/>
      <c r="N27" s="954"/>
    </row>
    <row r="28" spans="1:17" ht="15.75">
      <c r="A28" s="951">
        <f>+A26+1</f>
        <v>12</v>
      </c>
      <c r="B28" s="952" t="s">
        <v>1274</v>
      </c>
      <c r="C28" s="952"/>
      <c r="D28" s="953" t="str">
        <f>"@ ITA = "&amp;MROUND(N26*100,0.01)&amp;"%"</f>
        <v>@ ITA = 53.29%</v>
      </c>
      <c r="E28" s="952"/>
      <c r="F28" s="960">
        <f>+F18*(1-F14)+F14-(F22*F14)</f>
        <v>0.12451677152850001</v>
      </c>
      <c r="G28" s="960">
        <f>+G18*(1-G14)+G14-(G22*G14)</f>
        <v>0</v>
      </c>
      <c r="H28" s="960">
        <f>+H18*(1-H14)+H14-(H22*H14)</f>
        <v>0</v>
      </c>
      <c r="I28" s="960">
        <f t="shared" si="4" ref="I28:L28">+I18*(1-I14)+I14-(I22*I14)</f>
        <v>0</v>
      </c>
      <c r="J28" s="960">
        <f t="shared" si="4"/>
        <v>0</v>
      </c>
      <c r="K28" s="960">
        <f t="shared" si="4"/>
        <v>0.016423706018099015</v>
      </c>
      <c r="L28" s="960">
        <f t="shared" si="4"/>
        <v>0</v>
      </c>
      <c r="M28" s="965">
        <f>SUM(F28:L28)</f>
        <v>0.14094047754659902</v>
      </c>
      <c r="N28" s="965"/>
      <c r="O28" s="960"/>
      <c r="Q28" s="962"/>
    </row>
    <row r="29" spans="1:16" ht="15.75">
      <c r="A29" s="951"/>
      <c r="B29" s="952"/>
      <c r="C29" s="952"/>
      <c r="D29" s="953"/>
      <c r="E29" s="952"/>
      <c r="F29" s="954"/>
      <c r="G29" s="954"/>
      <c r="H29" s="954"/>
      <c r="I29" s="954"/>
      <c r="J29" s="954"/>
      <c r="K29" s="954"/>
      <c r="L29" s="954"/>
      <c r="M29" s="954"/>
      <c r="P29" s="962"/>
    </row>
    <row r="30" spans="1:13" ht="15">
      <c r="A30" s="954"/>
      <c r="B30" s="954"/>
      <c r="C30" s="954"/>
      <c r="D30" s="953"/>
      <c r="E30" s="954"/>
      <c r="F30" s="954"/>
      <c r="G30" s="954"/>
      <c r="H30" s="954"/>
      <c r="I30" s="954"/>
      <c r="J30" s="954"/>
      <c r="K30" s="954"/>
      <c r="L30" s="954"/>
      <c r="M30" s="954"/>
    </row>
    <row r="31" spans="1:13" ht="15">
      <c r="A31" s="954"/>
      <c r="B31" s="954"/>
      <c r="C31" s="954"/>
      <c r="D31" s="953"/>
      <c r="E31" s="954"/>
      <c r="F31" s="954"/>
      <c r="G31" s="954"/>
      <c r="H31" s="954"/>
      <c r="I31" s="954"/>
      <c r="J31" s="954"/>
      <c r="K31" s="954"/>
      <c r="L31" s="954"/>
      <c r="M31" s="954"/>
    </row>
    <row r="32" spans="1:14" ht="15">
      <c r="A32" s="951">
        <f>+A28+1</f>
        <v>13</v>
      </c>
      <c r="B32" s="954" t="s">
        <v>1275</v>
      </c>
      <c r="C32" s="954" t="s">
        <v>1276</v>
      </c>
      <c r="D32" s="953"/>
      <c r="E32" s="954"/>
      <c r="F32" s="957">
        <v>0.496</v>
      </c>
      <c r="G32" s="957">
        <v>0.46200000000000002</v>
      </c>
      <c r="H32" s="957">
        <v>0.0040000000000000001</v>
      </c>
      <c r="I32" s="957">
        <v>0.019</v>
      </c>
      <c r="J32" s="957">
        <v>0.019</v>
      </c>
      <c r="L32" s="954"/>
      <c r="M32" s="954"/>
      <c r="N32" s="961">
        <f>SUM(F32:J32)</f>
        <v>1</v>
      </c>
    </row>
    <row r="33" spans="1:14" ht="15">
      <c r="A33" s="954"/>
      <c r="B33" s="954" t="s">
        <v>1277</v>
      </c>
      <c r="C33" s="954" t="s">
        <v>1276</v>
      </c>
      <c r="D33" s="953"/>
      <c r="E33" s="951"/>
      <c r="F33" s="966" t="s">
        <v>1278</v>
      </c>
      <c r="G33" s="966" t="s">
        <v>1279</v>
      </c>
      <c r="H33" s="966" t="s">
        <v>1280</v>
      </c>
      <c r="I33" s="966" t="s">
        <v>1281</v>
      </c>
      <c r="J33" s="966" t="s">
        <v>1282</v>
      </c>
      <c r="L33" s="954"/>
      <c r="M33" s="954"/>
      <c r="N33" s="954"/>
    </row>
    <row r="34" spans="1:14" ht="15">
      <c r="A34" s="951">
        <f>+A32+1</f>
        <v>14</v>
      </c>
      <c r="B34" s="967" t="s">
        <v>1251</v>
      </c>
      <c r="C34" s="954" t="s">
        <v>1276</v>
      </c>
      <c r="D34" s="953"/>
      <c r="E34" s="954"/>
      <c r="F34" s="956">
        <v>0.49150000000000005</v>
      </c>
      <c r="G34" s="956">
        <v>0.49299999999999999</v>
      </c>
      <c r="H34" s="956">
        <v>0</v>
      </c>
      <c r="I34" s="956">
        <v>0</v>
      </c>
      <c r="J34" s="956">
        <v>0</v>
      </c>
      <c r="L34" s="954"/>
      <c r="M34" s="954"/>
      <c r="N34" s="961">
        <f t="shared" si="5" ref="N34:N40">SUM(F34:J34)/5</f>
        <v>0.19690000000000002</v>
      </c>
    </row>
    <row r="35" spans="1:14" ht="15">
      <c r="A35" s="951">
        <f>+A34+1</f>
        <v>15</v>
      </c>
      <c r="B35" s="967" t="s">
        <v>1252</v>
      </c>
      <c r="C35" s="954" t="s">
        <v>1276</v>
      </c>
      <c r="D35" s="953"/>
      <c r="E35" s="954"/>
      <c r="F35" s="956">
        <v>0</v>
      </c>
      <c r="G35" s="956">
        <v>0</v>
      </c>
      <c r="H35" s="956">
        <v>0</v>
      </c>
      <c r="I35" s="956">
        <v>0</v>
      </c>
      <c r="J35" s="956">
        <v>0</v>
      </c>
      <c r="L35" s="954"/>
      <c r="M35" s="954"/>
      <c r="N35" s="961">
        <f t="shared" si="5"/>
        <v>0</v>
      </c>
    </row>
    <row r="36" spans="1:14" ht="15">
      <c r="A36" s="951">
        <f t="shared" si="6" ref="A36:A66">+A35+1</f>
        <v>16</v>
      </c>
      <c r="B36" s="967" t="s">
        <v>1253</v>
      </c>
      <c r="C36" s="954" t="s">
        <v>1276</v>
      </c>
      <c r="D36" s="953"/>
      <c r="E36" s="954"/>
      <c r="F36" s="956">
        <v>0</v>
      </c>
      <c r="G36" s="956">
        <v>0</v>
      </c>
      <c r="H36" s="956">
        <v>0</v>
      </c>
      <c r="I36" s="956">
        <v>0</v>
      </c>
      <c r="J36" s="956">
        <v>0</v>
      </c>
      <c r="L36" s="954"/>
      <c r="M36" s="954"/>
      <c r="N36" s="961">
        <f t="shared" si="5"/>
        <v>0</v>
      </c>
    </row>
    <row r="37" spans="1:14" ht="15">
      <c r="A37" s="951">
        <f t="shared" si="6"/>
        <v>17</v>
      </c>
      <c r="B37" s="967" t="s">
        <v>1254</v>
      </c>
      <c r="C37" s="954" t="s">
        <v>1276</v>
      </c>
      <c r="D37" s="953"/>
      <c r="E37" s="954"/>
      <c r="F37" s="956">
        <v>0</v>
      </c>
      <c r="G37" s="956">
        <v>0</v>
      </c>
      <c r="H37" s="956">
        <v>0</v>
      </c>
      <c r="I37" s="956">
        <v>0</v>
      </c>
      <c r="J37" s="956">
        <v>0</v>
      </c>
      <c r="L37" s="954"/>
      <c r="M37" s="954"/>
      <c r="N37" s="961">
        <f t="shared" si="5"/>
        <v>0</v>
      </c>
    </row>
    <row r="38" spans="1:14" ht="15">
      <c r="A38" s="951">
        <f t="shared" si="6"/>
        <v>18</v>
      </c>
      <c r="B38" s="967" t="s">
        <v>1255</v>
      </c>
      <c r="C38" s="954" t="s">
        <v>1276</v>
      </c>
      <c r="D38" s="953"/>
      <c r="E38" s="954"/>
      <c r="F38" s="956">
        <v>0</v>
      </c>
      <c r="G38" s="956">
        <v>0</v>
      </c>
      <c r="H38" s="956">
        <v>0</v>
      </c>
      <c r="I38" s="956">
        <v>0</v>
      </c>
      <c r="J38" s="956">
        <v>0</v>
      </c>
      <c r="L38" s="954"/>
      <c r="M38" s="954"/>
      <c r="N38" s="961">
        <f t="shared" si="5"/>
        <v>0</v>
      </c>
    </row>
    <row r="39" spans="1:18" ht="15.75">
      <c r="A39" s="951">
        <f t="shared" si="6"/>
        <v>19</v>
      </c>
      <c r="B39" s="967" t="s">
        <v>1256</v>
      </c>
      <c r="C39" s="954" t="s">
        <v>1276</v>
      </c>
      <c r="D39" s="953"/>
      <c r="E39" s="954"/>
      <c r="F39" s="956">
        <v>0.064399999999999999</v>
      </c>
      <c r="G39" s="956">
        <v>0.062899999999999998</v>
      </c>
      <c r="H39" s="956">
        <v>0</v>
      </c>
      <c r="I39" s="956">
        <v>0</v>
      </c>
      <c r="J39" s="956">
        <v>0</v>
      </c>
      <c r="L39" s="954"/>
      <c r="M39" s="954"/>
      <c r="N39" s="961">
        <f t="shared" si="5"/>
        <v>0.02546</v>
      </c>
      <c r="O39" s="968"/>
      <c r="Q39" s="962"/>
      <c r="R39" s="962"/>
    </row>
    <row r="40" spans="1:15" ht="15.75">
      <c r="A40" s="951">
        <f t="shared" si="6"/>
        <v>20</v>
      </c>
      <c r="B40" s="967" t="s">
        <v>1257</v>
      </c>
      <c r="C40" s="954" t="s">
        <v>1276</v>
      </c>
      <c r="D40" s="953"/>
      <c r="E40" s="954"/>
      <c r="F40" s="957">
        <v>0.44409999999999999</v>
      </c>
      <c r="G40" s="957">
        <v>0.44409999999999999</v>
      </c>
      <c r="H40" s="957">
        <v>1</v>
      </c>
      <c r="I40" s="957">
        <v>1</v>
      </c>
      <c r="J40" s="957">
        <v>1</v>
      </c>
      <c r="K40" s="969"/>
      <c r="L40" s="970"/>
      <c r="M40" s="970"/>
      <c r="N40" s="971">
        <f t="shared" si="5"/>
        <v>0.77764</v>
      </c>
      <c r="O40" s="968"/>
    </row>
    <row r="41" spans="1:14" ht="15">
      <c r="A41" s="951">
        <f t="shared" si="6"/>
        <v>21</v>
      </c>
      <c r="B41" s="954"/>
      <c r="C41" s="954"/>
      <c r="D41" s="953"/>
      <c r="E41" s="954"/>
      <c r="F41" s="960">
        <v>1</v>
      </c>
      <c r="G41" s="960">
        <v>1</v>
      </c>
      <c r="H41" s="960">
        <v>1</v>
      </c>
      <c r="I41" s="960">
        <v>1</v>
      </c>
      <c r="J41" s="960">
        <v>1</v>
      </c>
      <c r="L41" s="954"/>
      <c r="M41" s="954"/>
      <c r="N41" s="960">
        <f>SUM(N34:N40)</f>
        <v>1</v>
      </c>
    </row>
    <row r="42" spans="1:14" ht="15">
      <c r="A42" s="951">
        <f t="shared" si="6"/>
        <v>22</v>
      </c>
      <c r="B42" s="954"/>
      <c r="C42" s="954"/>
      <c r="D42" s="953"/>
      <c r="E42" s="954"/>
      <c r="F42" s="972"/>
      <c r="G42" s="972"/>
      <c r="H42" s="972"/>
      <c r="I42" s="972"/>
      <c r="J42" s="972"/>
      <c r="K42" s="972"/>
      <c r="L42" s="972"/>
      <c r="M42" s="972"/>
      <c r="N42" s="961"/>
    </row>
    <row r="43" spans="1:14" ht="15">
      <c r="A43" s="951">
        <f t="shared" si="6"/>
        <v>23</v>
      </c>
      <c r="B43" s="954"/>
      <c r="C43" s="954"/>
      <c r="D43" s="953"/>
      <c r="E43" s="954"/>
      <c r="F43" s="1094" t="s">
        <v>171</v>
      </c>
      <c r="G43" s="1094"/>
      <c r="H43" s="1094"/>
      <c r="I43" s="1094"/>
      <c r="J43" s="1094"/>
      <c r="K43" s="973"/>
      <c r="L43" s="973"/>
      <c r="M43" s="973"/>
      <c r="N43" s="965"/>
    </row>
    <row r="44" spans="1:18" ht="15.75">
      <c r="A44" s="951">
        <f t="shared" si="6"/>
        <v>24</v>
      </c>
      <c r="B44" s="954" t="s">
        <v>1283</v>
      </c>
      <c r="C44" s="954"/>
      <c r="D44" s="953"/>
      <c r="E44" s="951"/>
      <c r="F44" s="965" t="s">
        <v>1278</v>
      </c>
      <c r="G44" s="966" t="s">
        <v>1279</v>
      </c>
      <c r="H44" s="965" t="s">
        <v>1280</v>
      </c>
      <c r="I44" s="965" t="s">
        <v>1281</v>
      </c>
      <c r="J44" s="965" t="s">
        <v>1282</v>
      </c>
      <c r="K44" s="972"/>
      <c r="L44" s="954"/>
      <c r="M44" s="954"/>
      <c r="N44" s="951"/>
      <c r="Q44" s="962"/>
      <c r="R44" s="974"/>
    </row>
    <row r="45" spans="1:15" ht="15.75">
      <c r="A45" s="951">
        <f t="shared" si="6"/>
        <v>25</v>
      </c>
      <c r="B45" s="967" t="s">
        <v>1251</v>
      </c>
      <c r="C45" s="954"/>
      <c r="D45" s="953" t="str">
        <f t="shared" si="7" ref="D45:D51">"(Line "&amp;A$32&amp;" * Line "&amp;A34&amp;")"</f>
        <v>(Line 13 * Line 14)</v>
      </c>
      <c r="E45" s="954"/>
      <c r="F45" s="960">
        <f t="shared" si="8" ref="F45:J51">+F$32*F34</f>
        <v>0.24378400000000003</v>
      </c>
      <c r="G45" s="960">
        <f t="shared" si="8"/>
        <v>0.227766</v>
      </c>
      <c r="H45" s="960">
        <f t="shared" si="8"/>
        <v>0</v>
      </c>
      <c r="I45" s="960">
        <f t="shared" si="8"/>
        <v>0</v>
      </c>
      <c r="J45" s="960">
        <f t="shared" si="8"/>
        <v>0</v>
      </c>
      <c r="L45" s="954"/>
      <c r="M45" s="954"/>
      <c r="N45" s="961">
        <f t="shared" si="9" ref="N45:N51">SUM(F45:J45)</f>
        <v>0.47155000000000002</v>
      </c>
      <c r="O45" s="975"/>
    </row>
    <row r="46" spans="1:15" ht="15.75">
      <c r="A46" s="951">
        <f t="shared" si="6"/>
        <v>26</v>
      </c>
      <c r="B46" s="967" t="s">
        <v>1252</v>
      </c>
      <c r="C46" s="954"/>
      <c r="D46" s="953" t="str">
        <f t="shared" si="7"/>
        <v>(Line 13 * Line 15)</v>
      </c>
      <c r="E46" s="954"/>
      <c r="F46" s="960">
        <f t="shared" si="8"/>
        <v>0</v>
      </c>
      <c r="G46" s="960">
        <f t="shared" si="8"/>
        <v>0</v>
      </c>
      <c r="H46" s="960">
        <f t="shared" si="8"/>
        <v>0</v>
      </c>
      <c r="I46" s="960">
        <f t="shared" si="8"/>
        <v>0</v>
      </c>
      <c r="J46" s="960">
        <f t="shared" si="8"/>
        <v>0</v>
      </c>
      <c r="L46" s="954"/>
      <c r="M46" s="954"/>
      <c r="N46" s="961">
        <f t="shared" si="9"/>
        <v>0</v>
      </c>
      <c r="O46" s="975"/>
    </row>
    <row r="47" spans="1:14" ht="15">
      <c r="A47" s="951">
        <f t="shared" si="6"/>
        <v>27</v>
      </c>
      <c r="B47" s="967" t="s">
        <v>1253</v>
      </c>
      <c r="C47" s="954"/>
      <c r="D47" s="953" t="str">
        <f t="shared" si="7"/>
        <v>(Line 13 * Line 16)</v>
      </c>
      <c r="E47" s="954"/>
      <c r="F47" s="960">
        <f t="shared" si="8"/>
        <v>0</v>
      </c>
      <c r="G47" s="960">
        <f t="shared" si="8"/>
        <v>0</v>
      </c>
      <c r="H47" s="960">
        <f t="shared" si="8"/>
        <v>0</v>
      </c>
      <c r="I47" s="960">
        <f t="shared" si="8"/>
        <v>0</v>
      </c>
      <c r="J47" s="960">
        <f t="shared" si="8"/>
        <v>0</v>
      </c>
      <c r="L47" s="954"/>
      <c r="M47" s="954"/>
      <c r="N47" s="961">
        <f t="shared" si="9"/>
        <v>0</v>
      </c>
    </row>
    <row r="48" spans="1:14" ht="15">
      <c r="A48" s="951">
        <f t="shared" si="6"/>
        <v>28</v>
      </c>
      <c r="B48" s="967" t="s">
        <v>1254</v>
      </c>
      <c r="C48" s="954"/>
      <c r="D48" s="953" t="str">
        <f t="shared" si="7"/>
        <v>(Line 13 * Line 17)</v>
      </c>
      <c r="E48" s="954"/>
      <c r="F48" s="960">
        <f t="shared" si="8"/>
        <v>0</v>
      </c>
      <c r="G48" s="960">
        <f t="shared" si="8"/>
        <v>0</v>
      </c>
      <c r="H48" s="960">
        <f t="shared" si="8"/>
        <v>0</v>
      </c>
      <c r="I48" s="960">
        <f t="shared" si="8"/>
        <v>0</v>
      </c>
      <c r="J48" s="960">
        <f t="shared" si="8"/>
        <v>0</v>
      </c>
      <c r="L48" s="954"/>
      <c r="M48" s="954"/>
      <c r="N48" s="961">
        <f t="shared" si="9"/>
        <v>0</v>
      </c>
    </row>
    <row r="49" spans="1:14" ht="15">
      <c r="A49" s="951">
        <f t="shared" si="6"/>
        <v>29</v>
      </c>
      <c r="B49" s="967" t="s">
        <v>1255</v>
      </c>
      <c r="C49" s="954"/>
      <c r="D49" s="953" t="str">
        <f t="shared" si="7"/>
        <v>(Line 13 * Line 18)</v>
      </c>
      <c r="E49" s="954"/>
      <c r="F49" s="960">
        <f t="shared" si="8"/>
        <v>0</v>
      </c>
      <c r="G49" s="960">
        <f t="shared" si="8"/>
        <v>0</v>
      </c>
      <c r="H49" s="960">
        <f t="shared" si="8"/>
        <v>0</v>
      </c>
      <c r="I49" s="960">
        <f t="shared" si="8"/>
        <v>0</v>
      </c>
      <c r="J49" s="960">
        <f t="shared" si="8"/>
        <v>0</v>
      </c>
      <c r="L49" s="954"/>
      <c r="M49" s="954"/>
      <c r="N49" s="961">
        <f t="shared" si="9"/>
        <v>0</v>
      </c>
    </row>
    <row r="50" spans="1:18" ht="15.75">
      <c r="A50" s="951">
        <f t="shared" si="6"/>
        <v>30</v>
      </c>
      <c r="B50" s="967" t="s">
        <v>1256</v>
      </c>
      <c r="C50" s="954"/>
      <c r="D50" s="953" t="str">
        <f t="shared" si="7"/>
        <v>(Line 13 * Line 19)</v>
      </c>
      <c r="E50" s="954"/>
      <c r="F50" s="960">
        <f t="shared" si="8"/>
        <v>0.031942399999999996</v>
      </c>
      <c r="G50" s="960">
        <f t="shared" si="8"/>
        <v>0.0290598</v>
      </c>
      <c r="H50" s="960">
        <f t="shared" si="8"/>
        <v>0</v>
      </c>
      <c r="I50" s="960">
        <f t="shared" si="8"/>
        <v>0</v>
      </c>
      <c r="J50" s="960">
        <f t="shared" si="8"/>
        <v>0</v>
      </c>
      <c r="L50" s="972"/>
      <c r="M50" s="972"/>
      <c r="N50" s="961">
        <f t="shared" si="9"/>
        <v>0.061002199999999993</v>
      </c>
      <c r="O50" s="968"/>
      <c r="Q50" s="962"/>
      <c r="R50" s="976"/>
    </row>
    <row r="51" spans="1:15" ht="15.75">
      <c r="A51" s="951">
        <f t="shared" si="6"/>
        <v>31</v>
      </c>
      <c r="B51" s="967" t="s">
        <v>1257</v>
      </c>
      <c r="C51" s="954"/>
      <c r="D51" s="953" t="str">
        <f t="shared" si="7"/>
        <v>(Line 13 * Line 20)</v>
      </c>
      <c r="E51" s="954"/>
      <c r="F51" s="958">
        <f t="shared" si="8"/>
        <v>0.22027359999999999</v>
      </c>
      <c r="G51" s="958">
        <f t="shared" si="8"/>
        <v>0.2051742</v>
      </c>
      <c r="H51" s="958">
        <f t="shared" si="8"/>
        <v>0.0040000000000000001</v>
      </c>
      <c r="I51" s="958">
        <f t="shared" si="8"/>
        <v>0.019</v>
      </c>
      <c r="J51" s="958">
        <f t="shared" si="8"/>
        <v>0.019</v>
      </c>
      <c r="K51" s="969"/>
      <c r="L51" s="970"/>
      <c r="M51" s="970"/>
      <c r="N51" s="971">
        <f t="shared" si="9"/>
        <v>0.46744780000000002</v>
      </c>
      <c r="O51" s="977"/>
    </row>
    <row r="52" spans="1:15" ht="15.75">
      <c r="A52" s="951">
        <f t="shared" si="6"/>
        <v>32</v>
      </c>
      <c r="B52" s="954"/>
      <c r="C52" s="954"/>
      <c r="D52" s="954"/>
      <c r="E52" s="954"/>
      <c r="F52" s="961">
        <f t="shared" si="10" ref="F52:J52">SUM(F45:F51)</f>
        <v>0.496</v>
      </c>
      <c r="G52" s="961">
        <f t="shared" si="10"/>
        <v>0.46199999999999997</v>
      </c>
      <c r="H52" s="961">
        <f t="shared" si="10"/>
        <v>0.0040000000000000001</v>
      </c>
      <c r="I52" s="961">
        <f t="shared" si="10"/>
        <v>0.019</v>
      </c>
      <c r="J52" s="961">
        <f t="shared" si="10"/>
        <v>0.019</v>
      </c>
      <c r="L52" s="954"/>
      <c r="M52" s="954"/>
      <c r="N52" s="961">
        <f>SUM(N45:N51)</f>
        <v>1</v>
      </c>
      <c r="O52" s="975"/>
    </row>
    <row r="53" spans="1:13" ht="15">
      <c r="A53" s="951">
        <f t="shared" si="6"/>
        <v>33</v>
      </c>
      <c r="B53" s="954"/>
      <c r="C53" s="954"/>
      <c r="D53" s="954"/>
      <c r="E53" s="954"/>
      <c r="F53" s="954"/>
      <c r="G53" s="954"/>
      <c r="H53" s="954"/>
      <c r="I53" s="954"/>
      <c r="J53" s="954"/>
      <c r="K53" s="954"/>
      <c r="L53" s="954"/>
      <c r="M53" s="954"/>
    </row>
    <row r="54" spans="1:13" ht="15">
      <c r="A54" s="951">
        <f t="shared" si="6"/>
        <v>34</v>
      </c>
      <c r="B54" s="954"/>
      <c r="C54" s="954"/>
      <c r="D54" s="954"/>
      <c r="E54" s="954"/>
      <c r="F54" s="954"/>
      <c r="G54" s="954"/>
      <c r="H54" s="954"/>
      <c r="I54" s="954"/>
      <c r="J54" s="954"/>
      <c r="K54" s="954"/>
      <c r="L54" s="954"/>
      <c r="M54" s="954"/>
    </row>
    <row r="55" spans="1:13" ht="51">
      <c r="A55" s="951">
        <f t="shared" si="6"/>
        <v>35</v>
      </c>
      <c r="B55" s="954"/>
      <c r="C55" s="954"/>
      <c r="D55" s="954"/>
      <c r="E55" s="978"/>
      <c r="F55" s="978"/>
      <c r="G55" s="979" t="s">
        <v>1284</v>
      </c>
      <c r="H55" s="954"/>
      <c r="I55" s="980"/>
      <c r="J55" s="979" t="s">
        <v>1285</v>
      </c>
      <c r="K55" s="979" t="s">
        <v>1286</v>
      </c>
      <c r="L55" s="954"/>
      <c r="M55" s="954"/>
    </row>
    <row r="56" spans="1:13" ht="15">
      <c r="A56" s="951">
        <f t="shared" si="6"/>
        <v>36</v>
      </c>
      <c r="B56" s="954"/>
      <c r="C56" s="954"/>
      <c r="D56" s="954"/>
      <c r="E56" s="954"/>
      <c r="F56" s="954"/>
      <c r="G56" s="954"/>
      <c r="H56" s="954"/>
      <c r="K56" s="954"/>
      <c r="L56" s="954"/>
      <c r="M56" s="954"/>
    </row>
    <row r="57" spans="1:15" ht="15.75">
      <c r="A57" s="951">
        <f t="shared" si="6"/>
        <v>37</v>
      </c>
      <c r="B57" s="981"/>
      <c r="C57" s="954"/>
      <c r="D57" s="954"/>
      <c r="E57" s="954"/>
      <c r="F57" s="982" t="s">
        <v>1251</v>
      </c>
      <c r="G57" s="961">
        <f t="shared" si="11" ref="G57:G63">N45</f>
        <v>0.47155000000000002</v>
      </c>
      <c r="H57" s="954"/>
      <c r="I57" s="982" t="s">
        <v>1287</v>
      </c>
      <c r="J57" s="956">
        <f t="shared" si="12" ref="J57:J63">G57*$J$64</f>
        <v>0.47122981146202531</v>
      </c>
      <c r="K57" s="956">
        <f>+J57</f>
        <v>0.47122981146202531</v>
      </c>
      <c r="L57" s="951"/>
      <c r="M57" s="954"/>
      <c r="N57" s="976"/>
      <c r="O57" s="968"/>
    </row>
    <row r="58" spans="1:15" ht="15.75">
      <c r="A58" s="951">
        <f t="shared" si="6"/>
        <v>38</v>
      </c>
      <c r="B58" s="981"/>
      <c r="C58" s="954"/>
      <c r="D58" s="954"/>
      <c r="E58" s="954"/>
      <c r="F58" s="982" t="s">
        <v>1252</v>
      </c>
      <c r="G58" s="961">
        <f t="shared" si="11"/>
        <v>0</v>
      </c>
      <c r="H58" s="954"/>
      <c r="I58" s="982" t="s">
        <v>1252</v>
      </c>
      <c r="J58" s="956">
        <f t="shared" si="12"/>
        <v>0</v>
      </c>
      <c r="K58" s="956">
        <f>+J58</f>
        <v>0</v>
      </c>
      <c r="L58" s="951"/>
      <c r="M58" s="954"/>
      <c r="N58" s="976"/>
      <c r="O58" s="968"/>
    </row>
    <row r="59" spans="1:13" ht="15">
      <c r="A59" s="951">
        <f t="shared" si="6"/>
        <v>39</v>
      </c>
      <c r="B59" s="954"/>
      <c r="C59" s="954"/>
      <c r="D59" s="954"/>
      <c r="E59" s="954"/>
      <c r="F59" s="982" t="s">
        <v>1253</v>
      </c>
      <c r="G59" s="961">
        <f t="shared" si="11"/>
        <v>0</v>
      </c>
      <c r="H59" s="954"/>
      <c r="I59" s="982" t="s">
        <v>1288</v>
      </c>
      <c r="J59" s="956">
        <f t="shared" si="12"/>
        <v>0</v>
      </c>
      <c r="K59" s="956">
        <f>+J59+J65</f>
        <v>0.00067901291056027139</v>
      </c>
      <c r="L59" s="951"/>
      <c r="M59" s="954"/>
    </row>
    <row r="60" spans="1:13" ht="15">
      <c r="A60" s="951">
        <f t="shared" si="6"/>
        <v>40</v>
      </c>
      <c r="B60" s="954"/>
      <c r="C60" s="954"/>
      <c r="D60" s="954"/>
      <c r="E60" s="954"/>
      <c r="F60" s="982" t="s">
        <v>1254</v>
      </c>
      <c r="G60" s="961">
        <f t="shared" si="11"/>
        <v>0</v>
      </c>
      <c r="H60" s="954"/>
      <c r="I60" s="982" t="s">
        <v>1289</v>
      </c>
      <c r="J60" s="956">
        <f t="shared" si="12"/>
        <v>0</v>
      </c>
      <c r="K60" s="956">
        <f>+J60</f>
        <v>0</v>
      </c>
      <c r="L60" s="951"/>
      <c r="M60" s="954"/>
    </row>
    <row r="61" spans="1:13" ht="15">
      <c r="A61" s="951">
        <f t="shared" si="6"/>
        <v>41</v>
      </c>
      <c r="B61" s="954"/>
      <c r="C61" s="954"/>
      <c r="D61" s="954"/>
      <c r="E61" s="954"/>
      <c r="F61" s="982" t="s">
        <v>1255</v>
      </c>
      <c r="G61" s="961">
        <f t="shared" si="11"/>
        <v>0</v>
      </c>
      <c r="H61" s="954"/>
      <c r="I61" s="982" t="s">
        <v>1255</v>
      </c>
      <c r="J61" s="956">
        <f t="shared" si="12"/>
        <v>0</v>
      </c>
      <c r="K61" s="956">
        <f>+J61</f>
        <v>0</v>
      </c>
      <c r="L61" s="951"/>
      <c r="M61" s="954"/>
    </row>
    <row r="62" spans="1:13" ht="15">
      <c r="A62" s="951">
        <f t="shared" si="6"/>
        <v>42</v>
      </c>
      <c r="B62" s="954"/>
      <c r="C62" s="954"/>
      <c r="D62" s="954"/>
      <c r="E62" s="954"/>
      <c r="F62" s="982" t="s">
        <v>1256</v>
      </c>
      <c r="G62" s="961">
        <f t="shared" si="11"/>
        <v>0.061002199999999993</v>
      </c>
      <c r="H62" s="954"/>
      <c r="I62" s="982" t="s">
        <v>1290</v>
      </c>
      <c r="J62" s="956">
        <f t="shared" si="12"/>
        <v>0.060960778718627415</v>
      </c>
      <c r="K62" s="956">
        <f>+J62</f>
        <v>0.060960778718627415</v>
      </c>
      <c r="L62" s="951"/>
      <c r="M62" s="954"/>
    </row>
    <row r="63" spans="1:13" ht="15">
      <c r="A63" s="951">
        <f t="shared" si="6"/>
        <v>43</v>
      </c>
      <c r="B63" s="954"/>
      <c r="C63" s="954"/>
      <c r="D63" s="954"/>
      <c r="E63" s="954"/>
      <c r="F63" s="982" t="s">
        <v>1257</v>
      </c>
      <c r="G63" s="971">
        <f t="shared" si="11"/>
        <v>0.46744780000000002</v>
      </c>
      <c r="H63" s="954"/>
      <c r="I63" s="982" t="s">
        <v>1291</v>
      </c>
      <c r="J63" s="956">
        <f t="shared" si="12"/>
        <v>0.46713039690878705</v>
      </c>
      <c r="K63" s="957">
        <f>+J63</f>
        <v>0.46713039690878705</v>
      </c>
      <c r="L63" s="951"/>
      <c r="M63" s="954"/>
    </row>
    <row r="64" spans="1:11" ht="15">
      <c r="A64" s="951">
        <f t="shared" si="6"/>
        <v>44</v>
      </c>
      <c r="B64" s="954"/>
      <c r="C64" s="954"/>
      <c r="D64" s="954"/>
      <c r="E64" s="954"/>
      <c r="F64" s="954"/>
      <c r="G64" s="961">
        <f>SUM(G57:G63)</f>
        <v>1</v>
      </c>
      <c r="I64" s="982" t="s">
        <v>1292</v>
      </c>
      <c r="J64" s="983">
        <v>0.99932098708943973</v>
      </c>
      <c r="K64" s="961">
        <f>SUM(K57:K63)</f>
        <v>1</v>
      </c>
    </row>
    <row r="65" spans="1:12" ht="15">
      <c r="A65" s="951">
        <f t="shared" si="6"/>
        <v>45</v>
      </c>
      <c r="B65" s="954"/>
      <c r="C65" s="954"/>
      <c r="D65" s="954"/>
      <c r="E65" s="954"/>
      <c r="F65" s="954"/>
      <c r="G65" s="984"/>
      <c r="H65" s="954"/>
      <c r="I65" s="982" t="s">
        <v>1293</v>
      </c>
      <c r="J65" s="971">
        <v>0.00067901291056027139</v>
      </c>
      <c r="K65" s="985"/>
      <c r="L65" s="985"/>
    </row>
    <row r="66" spans="1:12" ht="15">
      <c r="A66" s="951">
        <f t="shared" si="6"/>
        <v>46</v>
      </c>
      <c r="B66" s="954"/>
      <c r="C66" s="954"/>
      <c r="D66" s="954"/>
      <c r="E66" s="954"/>
      <c r="F66" s="954"/>
      <c r="G66" s="984"/>
      <c r="H66" s="954"/>
      <c r="I66" s="982"/>
      <c r="J66" s="961">
        <f>SUM(J57:J63,J65)</f>
        <v>1</v>
      </c>
      <c r="K66" s="985"/>
      <c r="L66" s="985"/>
    </row>
    <row r="67" spans="1:1" ht="15">
      <c r="A67" s="951"/>
    </row>
    <row r="68" spans="1:13" ht="15">
      <c r="A68" s="951" t="s">
        <v>290</v>
      </c>
      <c r="B68" s="952"/>
      <c r="C68" s="952"/>
      <c r="D68" s="952"/>
      <c r="E68" s="952"/>
      <c r="F68" s="954"/>
      <c r="G68" s="954"/>
      <c r="H68" s="954"/>
      <c r="I68" s="954"/>
      <c r="J68" s="954"/>
      <c r="K68" s="954"/>
      <c r="L68" s="986"/>
      <c r="M68" s="986"/>
    </row>
    <row r="69" spans="1:13" ht="15">
      <c r="A69" s="951" t="s">
        <v>236</v>
      </c>
      <c r="B69" s="954" t="s">
        <v>1294</v>
      </c>
      <c r="C69" s="954"/>
      <c r="D69" s="961"/>
      <c r="E69" s="954"/>
      <c r="F69" s="954"/>
      <c r="G69" s="954"/>
      <c r="H69" s="954"/>
      <c r="I69" s="954"/>
      <c r="J69" s="954"/>
      <c r="K69" s="954"/>
      <c r="L69" s="986"/>
      <c r="M69" s="986"/>
    </row>
    <row r="70" spans="1:10" ht="15">
      <c r="A70" s="951"/>
      <c r="B70" s="954" t="s">
        <v>1295</v>
      </c>
      <c r="C70" s="954"/>
      <c r="D70" s="961"/>
      <c r="E70" s="954"/>
      <c r="F70" s="954"/>
      <c r="G70" s="954"/>
      <c r="H70" s="954"/>
      <c r="I70" s="954"/>
      <c r="J70" s="954"/>
    </row>
    <row r="71" spans="1:10" ht="15">
      <c r="A71" s="951" t="s">
        <v>238</v>
      </c>
      <c r="B71" s="952" t="s">
        <v>1296</v>
      </c>
      <c r="C71" s="954"/>
      <c r="D71" s="954"/>
      <c r="E71" s="954"/>
      <c r="F71" s="954"/>
      <c r="G71" s="954"/>
      <c r="H71" s="954"/>
      <c r="I71" s="954"/>
      <c r="J71" s="954"/>
    </row>
    <row r="72" spans="1:10" ht="15">
      <c r="A72" s="951" t="s">
        <v>251</v>
      </c>
      <c r="B72" s="954" t="s">
        <v>1297</v>
      </c>
      <c r="C72" s="952"/>
      <c r="D72" s="952"/>
      <c r="E72" s="952"/>
      <c r="F72" s="954"/>
      <c r="G72" s="954"/>
      <c r="H72" s="954"/>
      <c r="I72" s="954"/>
      <c r="J72" s="954"/>
    </row>
    <row r="73" spans="1:2" ht="15">
      <c r="A73" s="951" t="s">
        <v>252</v>
      </c>
      <c r="B73" s="987" t="s">
        <v>1298</v>
      </c>
    </row>
    <row r="74" spans="1:2" ht="15" customHeight="1">
      <c r="A74" s="951" t="s">
        <v>253</v>
      </c>
      <c r="B74" s="987" t="s">
        <v>1299</v>
      </c>
    </row>
    <row r="75" spans="1:2" ht="15">
      <c r="A75" s="951" t="s">
        <v>254</v>
      </c>
      <c r="B75" s="987" t="s">
        <v>1300</v>
      </c>
    </row>
    <row r="76" spans="13:13" ht="15">
      <c r="M76" s="941" t="s">
        <v>591</v>
      </c>
    </row>
    <row r="78" spans="7:7" ht="15">
      <c r="G78" s="943" t="str">
        <f>G3</f>
        <v>Attachment 13</v>
      </c>
    </row>
    <row r="79" spans="7:7" ht="15">
      <c r="G79" s="943" t="str">
        <f>G4</f>
        <v>Income Tax Allowance</v>
      </c>
    </row>
    <row r="80" spans="7:7" ht="15">
      <c r="G80" s="944" t="str">
        <f>G5</f>
        <v>GridLiance High Plains LLC</v>
      </c>
    </row>
    <row r="83" spans="1:13" ht="15">
      <c r="A83" s="988"/>
      <c r="B83" s="989"/>
      <c r="C83" s="989"/>
      <c r="D83" s="989"/>
      <c r="E83" s="989"/>
      <c r="F83" s="989"/>
      <c r="G83" s="989"/>
      <c r="H83" s="989"/>
      <c r="I83" s="989"/>
      <c r="J83" s="989"/>
      <c r="K83" s="989"/>
      <c r="L83" s="989"/>
      <c r="M83" s="990"/>
    </row>
    <row r="84" spans="1:13" ht="15">
      <c r="A84" s="987"/>
      <c r="B84" s="947" t="s">
        <v>27</v>
      </c>
      <c r="D84" s="947" t="s">
        <v>28</v>
      </c>
      <c r="F84" s="947" t="s">
        <v>29</v>
      </c>
      <c r="H84" s="947" t="s">
        <v>31</v>
      </c>
      <c r="J84" s="947" t="s">
        <v>32</v>
      </c>
      <c r="L84" s="947" t="s">
        <v>1301</v>
      </c>
      <c r="M84" s="991"/>
    </row>
    <row r="85" spans="1:13" ht="63.75">
      <c r="A85" s="992" t="s">
        <v>1</v>
      </c>
      <c r="B85" s="993" t="s">
        <v>1012</v>
      </c>
      <c r="C85" s="994"/>
      <c r="D85" s="995" t="s">
        <v>1302</v>
      </c>
      <c r="E85" s="994"/>
      <c r="F85" s="995" t="s">
        <v>1303</v>
      </c>
      <c r="G85" s="996"/>
      <c r="H85" s="995" t="s">
        <v>1304</v>
      </c>
      <c r="I85" s="996"/>
      <c r="J85" s="995" t="s">
        <v>1305</v>
      </c>
      <c r="K85" s="996"/>
      <c r="L85" s="995" t="s">
        <v>1306</v>
      </c>
      <c r="M85" s="997"/>
    </row>
    <row r="86" spans="1:13" ht="15">
      <c r="A86" s="998">
        <v>1</v>
      </c>
      <c r="B86" s="999" t="s">
        <v>1307</v>
      </c>
      <c r="C86" s="1000"/>
      <c r="D86" s="955">
        <v>1</v>
      </c>
      <c r="E86" s="1001"/>
      <c r="F86" s="955">
        <v>0.059999999999999998</v>
      </c>
      <c r="G86" s="1001"/>
      <c r="H86" s="955">
        <v>0</v>
      </c>
      <c r="I86" s="1001"/>
      <c r="J86" s="960">
        <f>D86*F86</f>
        <v>0.059999999999999998</v>
      </c>
      <c r="K86" s="960"/>
      <c r="L86" s="960">
        <f>D86*H86</f>
        <v>0</v>
      </c>
      <c r="M86" s="1002"/>
    </row>
    <row r="87" spans="1:13" ht="15">
      <c r="A87" s="998">
        <f>+A86+1</f>
        <v>2</v>
      </c>
      <c r="B87" s="999" t="s">
        <v>1308</v>
      </c>
      <c r="C87" s="1000"/>
      <c r="D87" s="955">
        <v>0</v>
      </c>
      <c r="E87" s="1001"/>
      <c r="F87" s="955">
        <v>0</v>
      </c>
      <c r="G87" s="1001"/>
      <c r="H87" s="955">
        <v>0</v>
      </c>
      <c r="I87" s="1001"/>
      <c r="J87" s="960">
        <f>D87*F87</f>
        <v>0</v>
      </c>
      <c r="K87" s="960"/>
      <c r="L87" s="960">
        <f>D87*H87</f>
        <v>0</v>
      </c>
      <c r="M87" s="1002"/>
    </row>
    <row r="88" spans="1:13" ht="15">
      <c r="A88" s="998">
        <f>+A87+1</f>
        <v>3</v>
      </c>
      <c r="B88" s="999" t="s">
        <v>1309</v>
      </c>
      <c r="C88" s="1000"/>
      <c r="D88" s="955">
        <v>0</v>
      </c>
      <c r="E88" s="1001"/>
      <c r="F88" s="955">
        <v>0</v>
      </c>
      <c r="G88" s="1001"/>
      <c r="H88" s="955">
        <v>0</v>
      </c>
      <c r="I88" s="1001"/>
      <c r="J88" s="960">
        <f>D88*F88</f>
        <v>0</v>
      </c>
      <c r="K88" s="960"/>
      <c r="L88" s="960">
        <f>D88*H88</f>
        <v>0</v>
      </c>
      <c r="M88" s="1002"/>
    </row>
    <row r="89" spans="1:13" ht="15">
      <c r="A89" s="998">
        <f>+A88+1</f>
        <v>4</v>
      </c>
      <c r="B89" s="999" t="s">
        <v>1310</v>
      </c>
      <c r="C89" s="1000"/>
      <c r="D89" s="955">
        <v>0</v>
      </c>
      <c r="E89" s="1001"/>
      <c r="F89" s="955">
        <v>0</v>
      </c>
      <c r="G89" s="1001"/>
      <c r="H89" s="955">
        <v>0</v>
      </c>
      <c r="I89" s="1001"/>
      <c r="J89" s="960">
        <f>D89*F89</f>
        <v>0</v>
      </c>
      <c r="K89" s="960"/>
      <c r="L89" s="960">
        <f>D89*H89</f>
        <v>0</v>
      </c>
      <c r="M89" s="1002"/>
    </row>
    <row r="90" spans="1:13" ht="15">
      <c r="A90" s="1003">
        <f>+A89+1</f>
        <v>5</v>
      </c>
      <c r="B90" s="1004" t="s">
        <v>1311</v>
      </c>
      <c r="C90" s="1005"/>
      <c r="D90" s="1006">
        <v>0</v>
      </c>
      <c r="E90" s="996"/>
      <c r="F90" s="1006">
        <v>0</v>
      </c>
      <c r="G90" s="996"/>
      <c r="H90" s="1006">
        <v>0</v>
      </c>
      <c r="I90" s="996"/>
      <c r="J90" s="960">
        <f>D90*F90</f>
        <v>0</v>
      </c>
      <c r="K90" s="960"/>
      <c r="L90" s="960">
        <f>D90*H90</f>
        <v>0</v>
      </c>
      <c r="M90" s="1002"/>
    </row>
    <row r="91" spans="1:13" ht="15">
      <c r="A91" s="998">
        <f>+A90+1</f>
        <v>6</v>
      </c>
      <c r="B91" s="1007" t="s">
        <v>1312</v>
      </c>
      <c r="C91" s="1000"/>
      <c r="D91" s="1001"/>
      <c r="E91" s="1001"/>
      <c r="F91" s="1001"/>
      <c r="G91" s="1001"/>
      <c r="H91" s="1001"/>
      <c r="I91" s="1001"/>
      <c r="J91" s="983">
        <f>SUM(J86:J90)</f>
        <v>0.059999999999999998</v>
      </c>
      <c r="K91" s="1008"/>
      <c r="L91" s="1008">
        <f>SUM(L86:L90)</f>
        <v>0</v>
      </c>
      <c r="M91" s="1009"/>
    </row>
    <row r="92" spans="1:13" ht="15.75">
      <c r="A92" s="1010"/>
      <c r="B92" s="1011"/>
      <c r="C92" s="1011"/>
      <c r="D92" s="1011"/>
      <c r="E92" s="1011"/>
      <c r="F92" s="1011"/>
      <c r="G92" s="1011"/>
      <c r="H92" s="1011"/>
      <c r="I92" s="1011"/>
      <c r="J92" s="1012"/>
      <c r="K92" s="1012"/>
      <c r="L92" s="1012"/>
      <c r="M92" s="1012"/>
    </row>
  </sheetData>
  <mergeCells count="1">
    <mergeCell ref="F43:J43"/>
  </mergeCells>
  <pageMargins left="0.25" right="0.25" top="0.75" bottom="0.75" header="0.3" footer="0.3"/>
  <pageSetup orientation="portrait" scale="44"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968B-63E1-4511-AD2E-C3AC8B831203}">
  <sheetPr>
    <pageSetUpPr fitToPage="1"/>
  </sheetPr>
  <dimension ref="A2:R92"/>
  <sheetViews>
    <sheetView view="pageBreakPreview" zoomScaleNormal="100" zoomScaleSheetLayoutView="100" workbookViewId="0" topLeftCell="A1"/>
  </sheetViews>
  <sheetFormatPr defaultColWidth="11.2855555555556" defaultRowHeight="15"/>
  <cols>
    <col min="1" max="1" width="7.55555555555556" style="940" bestFit="1" customWidth="1"/>
    <col min="2" max="2" width="61.4444444444444" style="940" customWidth="1"/>
    <col min="3" max="3" width="6.55555555555556" style="940" bestFit="1" customWidth="1"/>
    <col min="4" max="4" width="22.6666666666667" style="940" bestFit="1" customWidth="1"/>
    <col min="5" max="13" width="13.4444444444444" style="940" customWidth="1"/>
    <col min="14" max="14" width="13.3333333333333" style="940" bestFit="1" customWidth="1"/>
    <col min="15" max="15" width="25.3333333333333" style="940" bestFit="1" customWidth="1"/>
    <col min="16" max="16" width="11.8888888888889" style="940" bestFit="1" customWidth="1"/>
    <col min="17" max="17" width="11.3333333333333" style="940"/>
    <col min="18" max="18" width="11.8888888888889" style="940" bestFit="1" customWidth="1"/>
    <col min="19" max="16384" width="11.3333333333333" style="940"/>
  </cols>
  <sheetData>
    <row r="2" spans="13:13" ht="15">
      <c r="M2" s="941" t="s">
        <v>1240</v>
      </c>
    </row>
    <row r="3" spans="7:7" ht="15">
      <c r="G3" s="942" t="s">
        <v>1313</v>
      </c>
    </row>
    <row r="4" spans="7:7" ht="15">
      <c r="G4" s="943" t="s">
        <v>1314</v>
      </c>
    </row>
    <row r="5" spans="7:7" ht="15">
      <c r="G5" s="944" t="s">
        <v>243</v>
      </c>
    </row>
    <row r="6" spans="7:7" ht="15">
      <c r="G6" s="945" t="s">
        <v>1315</v>
      </c>
    </row>
    <row r="7" spans="7:7" ht="15">
      <c r="G7" s="946"/>
    </row>
    <row r="8" spans="2:14" ht="15">
      <c r="B8" s="947" t="s">
        <v>27</v>
      </c>
      <c r="C8" s="947" t="s">
        <v>28</v>
      </c>
      <c r="D8" s="947" t="s">
        <v>29</v>
      </c>
      <c r="E8" s="947" t="s">
        <v>31</v>
      </c>
      <c r="F8" s="947" t="s">
        <v>32</v>
      </c>
      <c r="G8" s="947">
        <v>-6</v>
      </c>
      <c r="H8" s="947" t="s">
        <v>1244</v>
      </c>
      <c r="I8" s="947" t="s">
        <v>1245</v>
      </c>
      <c r="J8" s="947" t="s">
        <v>1246</v>
      </c>
      <c r="K8" s="947" t="s">
        <v>1247</v>
      </c>
      <c r="L8" s="947" t="s">
        <v>1248</v>
      </c>
      <c r="M8" s="947" t="s">
        <v>1249</v>
      </c>
      <c r="N8" s="947" t="s">
        <v>1250</v>
      </c>
    </row>
    <row r="9" spans="1:14" ht="63.75">
      <c r="A9" s="948" t="s">
        <v>1</v>
      </c>
      <c r="B9" s="949" t="s">
        <v>943</v>
      </c>
      <c r="C9" s="948" t="s">
        <v>381</v>
      </c>
      <c r="D9" s="948" t="s">
        <v>36</v>
      </c>
      <c r="E9" s="949"/>
      <c r="F9" s="950" t="s">
        <v>1251</v>
      </c>
      <c r="G9" s="950" t="s">
        <v>1252</v>
      </c>
      <c r="H9" s="950" t="s">
        <v>1253</v>
      </c>
      <c r="I9" s="948" t="s">
        <v>1254</v>
      </c>
      <c r="J9" s="948" t="s">
        <v>1255</v>
      </c>
      <c r="K9" s="950" t="s">
        <v>1256</v>
      </c>
      <c r="L9" s="950" t="s">
        <v>1257</v>
      </c>
      <c r="M9" s="950" t="s">
        <v>1258</v>
      </c>
      <c r="N9" s="950" t="s">
        <v>1259</v>
      </c>
    </row>
    <row r="10" spans="1:14" ht="15">
      <c r="A10" s="951"/>
      <c r="B10" s="952" t="s">
        <v>197</v>
      </c>
      <c r="C10" s="952"/>
      <c r="D10" s="952"/>
      <c r="E10" s="952"/>
      <c r="F10" s="953" t="s">
        <v>198</v>
      </c>
      <c r="G10" s="953"/>
      <c r="H10" s="951" t="s">
        <v>199</v>
      </c>
      <c r="I10" s="953" t="s">
        <v>200</v>
      </c>
      <c r="J10" s="951" t="s">
        <v>201</v>
      </c>
      <c r="K10" s="951" t="s">
        <v>221</v>
      </c>
      <c r="L10" s="951" t="s">
        <v>223</v>
      </c>
      <c r="M10" s="951" t="s">
        <v>678</v>
      </c>
      <c r="N10" s="951"/>
    </row>
    <row r="11" spans="1:14" ht="15">
      <c r="A11" s="954"/>
      <c r="B11" s="952"/>
      <c r="C11" s="952"/>
      <c r="D11" s="951"/>
      <c r="E11" s="952"/>
      <c r="F11" s="954"/>
      <c r="G11" s="954"/>
      <c r="H11" s="954"/>
      <c r="I11" s="954"/>
      <c r="J11" s="954"/>
      <c r="K11" s="954"/>
      <c r="L11" s="954"/>
      <c r="M11" s="954"/>
      <c r="N11" s="954"/>
    </row>
    <row r="12" spans="1:14" ht="15">
      <c r="A12" s="951">
        <v>1</v>
      </c>
      <c r="B12" s="952" t="s">
        <v>1260</v>
      </c>
      <c r="C12" s="951" t="s">
        <v>794</v>
      </c>
      <c r="D12" s="953"/>
      <c r="E12" s="952"/>
      <c r="F12" s="955">
        <v>0</v>
      </c>
      <c r="G12" s="955">
        <v>0</v>
      </c>
      <c r="H12" s="955">
        <v>0</v>
      </c>
      <c r="I12" s="955">
        <v>0</v>
      </c>
      <c r="J12" s="955">
        <v>0</v>
      </c>
      <c r="K12" s="955">
        <v>0</v>
      </c>
      <c r="L12" s="956">
        <v>0</v>
      </c>
      <c r="M12" s="951"/>
      <c r="N12" s="951"/>
    </row>
    <row r="13" spans="1:14" ht="15">
      <c r="A13" s="951">
        <f>+A12+1</f>
        <v>2</v>
      </c>
      <c r="B13" s="952" t="s">
        <v>1261</v>
      </c>
      <c r="C13" s="953" t="s">
        <v>1262</v>
      </c>
      <c r="D13" s="953" t="s">
        <v>1263</v>
      </c>
      <c r="E13" s="952"/>
      <c r="F13" s="957">
        <f>+N45</f>
        <v>0</v>
      </c>
      <c r="G13" s="957">
        <f>+N46</f>
        <v>0</v>
      </c>
      <c r="H13" s="958">
        <f>+N47</f>
        <v>0</v>
      </c>
      <c r="I13" s="958">
        <f>+N48</f>
        <v>0</v>
      </c>
      <c r="J13" s="958">
        <f>+N49</f>
        <v>0</v>
      </c>
      <c r="K13" s="958">
        <f>+N50</f>
        <v>0</v>
      </c>
      <c r="L13" s="957">
        <f>+N51</f>
        <v>0</v>
      </c>
      <c r="M13" s="959"/>
      <c r="N13" s="959"/>
    </row>
    <row r="14" spans="1:17" ht="15.75">
      <c r="A14" s="951">
        <f>+A13+1</f>
        <v>3</v>
      </c>
      <c r="B14" s="952" t="s">
        <v>1264</v>
      </c>
      <c r="C14" s="952"/>
      <c r="D14" s="953" t="str">
        <f>"(Line "&amp;A12&amp;" * Line "&amp;A13&amp;")"</f>
        <v>(Line 1 * Line 2)</v>
      </c>
      <c r="E14" s="952"/>
      <c r="F14" s="960">
        <f t="shared" si="0" ref="F14:L14">F12*F13</f>
        <v>0</v>
      </c>
      <c r="G14" s="960">
        <f t="shared" si="0"/>
        <v>0</v>
      </c>
      <c r="H14" s="960">
        <f t="shared" si="0"/>
        <v>0</v>
      </c>
      <c r="I14" s="960">
        <f t="shared" si="0"/>
        <v>0</v>
      </c>
      <c r="J14" s="960">
        <f t="shared" si="0"/>
        <v>0</v>
      </c>
      <c r="K14" s="960">
        <f t="shared" si="0"/>
        <v>0</v>
      </c>
      <c r="L14" s="960">
        <f t="shared" si="0"/>
        <v>0</v>
      </c>
      <c r="M14" s="961">
        <f>SUM(F14:L14)</f>
        <v>0</v>
      </c>
      <c r="N14" s="961"/>
      <c r="Q14" s="962"/>
    </row>
    <row r="15" spans="1:14" ht="15">
      <c r="A15" s="951"/>
      <c r="B15" s="952"/>
      <c r="C15" s="952"/>
      <c r="D15" s="953"/>
      <c r="E15" s="952"/>
      <c r="F15" s="960"/>
      <c r="G15" s="960"/>
      <c r="H15" s="960"/>
      <c r="I15" s="960"/>
      <c r="J15" s="960"/>
      <c r="K15" s="960"/>
      <c r="L15" s="960"/>
      <c r="M15" s="951"/>
      <c r="N15" s="951"/>
    </row>
    <row r="16" spans="1:14" ht="15">
      <c r="A16" s="951">
        <f>+A14+1</f>
        <v>4</v>
      </c>
      <c r="B16" s="952" t="s">
        <v>1265</v>
      </c>
      <c r="C16" s="951" t="s">
        <v>794</v>
      </c>
      <c r="D16" s="953" t="str">
        <f>"(Page 2, Col. "&amp;J84&amp;", Line "&amp;$A$91&amp;")"</f>
        <v>(Page 2, Col. (5), Line 6)</v>
      </c>
      <c r="E16" s="952"/>
      <c r="F16" s="960">
        <f>J91</f>
        <v>0</v>
      </c>
      <c r="G16" s="960">
        <f>J91</f>
        <v>0</v>
      </c>
      <c r="H16" s="956">
        <f>J91</f>
        <v>0</v>
      </c>
      <c r="I16" s="956">
        <f>J91</f>
        <v>0</v>
      </c>
      <c r="J16" s="960">
        <f>J91</f>
        <v>0</v>
      </c>
      <c r="K16" s="960">
        <f>J91</f>
        <v>0</v>
      </c>
      <c r="L16" s="960">
        <v>0</v>
      </c>
      <c r="M16" s="951"/>
      <c r="N16" s="951"/>
    </row>
    <row r="17" spans="1:14" ht="15">
      <c r="A17" s="951">
        <f>+A16+1</f>
        <v>5</v>
      </c>
      <c r="B17" s="952" t="s">
        <v>1261</v>
      </c>
      <c r="C17" s="953" t="s">
        <v>1262</v>
      </c>
      <c r="D17" s="953" t="s">
        <v>1263</v>
      </c>
      <c r="E17" s="952"/>
      <c r="F17" s="958">
        <f>+N45</f>
        <v>0</v>
      </c>
      <c r="G17" s="958">
        <f>+N46</f>
        <v>0</v>
      </c>
      <c r="H17" s="958">
        <f>+N47</f>
        <v>0</v>
      </c>
      <c r="I17" s="958">
        <f>+N48</f>
        <v>0</v>
      </c>
      <c r="J17" s="958">
        <f>+N49</f>
        <v>0</v>
      </c>
      <c r="K17" s="958">
        <f>+N50</f>
        <v>0</v>
      </c>
      <c r="L17" s="958">
        <f>+N51</f>
        <v>0</v>
      </c>
      <c r="M17" s="959"/>
      <c r="N17" s="959"/>
    </row>
    <row r="18" spans="1:17" ht="15.75">
      <c r="A18" s="951">
        <f>+A17+1</f>
        <v>6</v>
      </c>
      <c r="B18" s="952" t="s">
        <v>1266</v>
      </c>
      <c r="C18" s="952"/>
      <c r="D18" s="953" t="str">
        <f>"(Line "&amp;A16&amp;" * Line "&amp;A17&amp;")"</f>
        <v>(Line 4 * Line 5)</v>
      </c>
      <c r="E18" s="952"/>
      <c r="F18" s="960">
        <f t="shared" si="1" ref="F18:L18">F16*F17</f>
        <v>0</v>
      </c>
      <c r="G18" s="960">
        <f t="shared" si="1"/>
        <v>0</v>
      </c>
      <c r="H18" s="960">
        <f t="shared" si="1"/>
        <v>0</v>
      </c>
      <c r="I18" s="960">
        <f t="shared" si="1"/>
        <v>0</v>
      </c>
      <c r="J18" s="960">
        <f t="shared" si="1"/>
        <v>0</v>
      </c>
      <c r="K18" s="960">
        <f t="shared" si="1"/>
        <v>0</v>
      </c>
      <c r="L18" s="960">
        <f t="shared" si="1"/>
        <v>0</v>
      </c>
      <c r="M18" s="961">
        <f>SUM(F18:L18)</f>
        <v>0</v>
      </c>
      <c r="N18" s="961"/>
      <c r="Q18" s="962"/>
    </row>
    <row r="19" spans="1:14" ht="15">
      <c r="A19" s="951"/>
      <c r="B19" s="952"/>
      <c r="C19" s="952"/>
      <c r="D19" s="953"/>
      <c r="E19" s="952"/>
      <c r="F19" s="960"/>
      <c r="G19" s="960"/>
      <c r="H19" s="960"/>
      <c r="I19" s="960"/>
      <c r="J19" s="960"/>
      <c r="K19" s="960"/>
      <c r="L19" s="960"/>
      <c r="M19" s="951"/>
      <c r="N19" s="951"/>
    </row>
    <row r="20" spans="1:14" ht="15">
      <c r="A20" s="951">
        <f>+A18+1</f>
        <v>7</v>
      </c>
      <c r="B20" s="952" t="s">
        <v>1267</v>
      </c>
      <c r="C20" s="951" t="s">
        <v>300</v>
      </c>
      <c r="D20" s="953" t="s">
        <v>1268</v>
      </c>
      <c r="E20" s="952"/>
      <c r="F20" s="960">
        <f>$L$91</f>
        <v>0</v>
      </c>
      <c r="G20" s="960">
        <f t="shared" si="2" ref="G20:K20">$L$91</f>
        <v>0</v>
      </c>
      <c r="H20" s="960">
        <f t="shared" si="2"/>
        <v>0</v>
      </c>
      <c r="I20" s="960">
        <f t="shared" si="2"/>
        <v>0</v>
      </c>
      <c r="J20" s="960">
        <f t="shared" si="2"/>
        <v>0</v>
      </c>
      <c r="K20" s="960">
        <f t="shared" si="2"/>
        <v>0</v>
      </c>
      <c r="L20" s="960">
        <v>0</v>
      </c>
      <c r="M20" s="951"/>
      <c r="N20" s="951"/>
    </row>
    <row r="21" spans="1:14" ht="15">
      <c r="A21" s="951">
        <f>+A20+1</f>
        <v>8</v>
      </c>
      <c r="B21" s="952" t="s">
        <v>1261</v>
      </c>
      <c r="C21" s="953" t="s">
        <v>1262</v>
      </c>
      <c r="D21" s="953" t="s">
        <v>1263</v>
      </c>
      <c r="E21" s="952"/>
      <c r="F21" s="958">
        <f>+N45</f>
        <v>0</v>
      </c>
      <c r="G21" s="958">
        <f>+N46</f>
        <v>0</v>
      </c>
      <c r="H21" s="958">
        <f>+N47</f>
        <v>0</v>
      </c>
      <c r="I21" s="958">
        <f>+N48</f>
        <v>0</v>
      </c>
      <c r="J21" s="958">
        <f>+N49</f>
        <v>0</v>
      </c>
      <c r="K21" s="958">
        <f>+N50</f>
        <v>0</v>
      </c>
      <c r="L21" s="958">
        <f>+N51</f>
        <v>0</v>
      </c>
      <c r="M21" s="959"/>
      <c r="N21" s="959"/>
    </row>
    <row r="22" spans="1:14" ht="15">
      <c r="A22" s="951">
        <f>+A21+1</f>
        <v>9</v>
      </c>
      <c r="B22" s="952" t="s">
        <v>1269</v>
      </c>
      <c r="C22" s="952"/>
      <c r="D22" s="953" t="str">
        <f>"(Line "&amp;A20&amp;" * Line "&amp;A21&amp;")"</f>
        <v>(Line 7 * Line 8)</v>
      </c>
      <c r="E22" s="952"/>
      <c r="F22" s="960">
        <f t="shared" si="3" ref="F22:L22">F20*F21</f>
        <v>0</v>
      </c>
      <c r="G22" s="960">
        <f t="shared" si="3"/>
        <v>0</v>
      </c>
      <c r="H22" s="960">
        <f t="shared" si="3"/>
        <v>0</v>
      </c>
      <c r="I22" s="960">
        <f t="shared" si="3"/>
        <v>0</v>
      </c>
      <c r="J22" s="960">
        <f t="shared" si="3"/>
        <v>0</v>
      </c>
      <c r="K22" s="960">
        <f t="shared" si="3"/>
        <v>0</v>
      </c>
      <c r="L22" s="960">
        <f t="shared" si="3"/>
        <v>0</v>
      </c>
      <c r="M22" s="961">
        <f>SUM(F22:L22)</f>
        <v>0</v>
      </c>
      <c r="N22" s="961"/>
    </row>
    <row r="23" spans="1:14" ht="15">
      <c r="A23" s="951"/>
      <c r="B23" s="952"/>
      <c r="C23" s="952"/>
      <c r="D23" s="953"/>
      <c r="E23" s="952"/>
      <c r="F23" s="954"/>
      <c r="G23" s="954"/>
      <c r="H23" s="954"/>
      <c r="I23" s="954"/>
      <c r="J23" s="954"/>
      <c r="K23" s="954"/>
      <c r="L23" s="954"/>
      <c r="N23" s="954"/>
    </row>
    <row r="24" spans="1:14" ht="15">
      <c r="A24" s="951">
        <f>+A22+1</f>
        <v>10</v>
      </c>
      <c r="B24" s="952" t="s">
        <v>1270</v>
      </c>
      <c r="C24" s="951" t="s">
        <v>1262</v>
      </c>
      <c r="D24" s="953" t="s">
        <v>1271</v>
      </c>
      <c r="E24" s="952"/>
      <c r="F24" s="960">
        <f>K57</f>
        <v>0</v>
      </c>
      <c r="G24" s="960">
        <f>K58</f>
        <v>0</v>
      </c>
      <c r="H24" s="960">
        <f>K59</f>
        <v>0</v>
      </c>
      <c r="I24" s="960">
        <f>K60</f>
        <v>0</v>
      </c>
      <c r="J24" s="960">
        <f>K61</f>
        <v>0</v>
      </c>
      <c r="K24" s="960">
        <f>K62</f>
        <v>0</v>
      </c>
      <c r="L24" s="960">
        <f>K63</f>
        <v>0</v>
      </c>
      <c r="N24" s="961">
        <f>+SUM(F24:L24)</f>
        <v>0</v>
      </c>
    </row>
    <row r="25" spans="1:14" ht="15">
      <c r="A25" s="951"/>
      <c r="B25" s="952"/>
      <c r="C25" s="952"/>
      <c r="D25" s="953"/>
      <c r="E25" s="952"/>
      <c r="F25" s="960"/>
      <c r="G25" s="960"/>
      <c r="H25" s="960"/>
      <c r="I25" s="960"/>
      <c r="J25" s="960"/>
      <c r="K25" s="960"/>
      <c r="L25" s="963"/>
      <c r="M25" s="961"/>
      <c r="N25" s="961"/>
    </row>
    <row r="26" spans="1:14" ht="15">
      <c r="A26" s="951">
        <f>+A24+1</f>
        <v>11</v>
      </c>
      <c r="B26" s="952" t="s">
        <v>1272</v>
      </c>
      <c r="C26" s="951" t="s">
        <v>1273</v>
      </c>
      <c r="D26" s="953" t="str">
        <f>"(Line "&amp;A24&amp;", Col. "&amp;N8&amp;" - Col. "&amp;L8&amp;")"</f>
        <v>(Line 10, Col. (13) - Col. (11))</v>
      </c>
      <c r="E26" s="952"/>
      <c r="F26" s="960"/>
      <c r="G26" s="960"/>
      <c r="H26" s="960"/>
      <c r="I26" s="960"/>
      <c r="J26" s="960"/>
      <c r="K26" s="960"/>
      <c r="L26" s="963"/>
      <c r="M26" s="961"/>
      <c r="N26" s="965">
        <f>N24-L24</f>
        <v>0</v>
      </c>
    </row>
    <row r="27" spans="1:14" ht="15">
      <c r="A27" s="951"/>
      <c r="B27" s="952"/>
      <c r="C27" s="952"/>
      <c r="D27" s="953"/>
      <c r="E27" s="952"/>
      <c r="F27" s="960"/>
      <c r="G27" s="960"/>
      <c r="H27" s="960"/>
      <c r="I27" s="960"/>
      <c r="J27" s="960"/>
      <c r="K27" s="960"/>
      <c r="L27" s="960"/>
      <c r="M27" s="954"/>
      <c r="N27" s="954"/>
    </row>
    <row r="28" spans="1:17" ht="15.75">
      <c r="A28" s="951">
        <f>+A26+1</f>
        <v>12</v>
      </c>
      <c r="B28" s="952" t="s">
        <v>1274</v>
      </c>
      <c r="C28" s="952"/>
      <c r="D28" s="953" t="str">
        <f>"@ ITA = "&amp;MROUND(N26*100,0.01)&amp;"%"</f>
        <v>@ ITA = 0%</v>
      </c>
      <c r="E28" s="952"/>
      <c r="F28" s="960">
        <f>+F18*(1-F14)+F14-(F22*F14)</f>
        <v>0</v>
      </c>
      <c r="G28" s="960">
        <f>+G18*(1-G14)+G14-(G22*G14)</f>
        <v>0</v>
      </c>
      <c r="H28" s="960">
        <f t="shared" si="4" ref="H28:L28">+H18*(1-H14)+H14-(H22*H14)</f>
        <v>0</v>
      </c>
      <c r="I28" s="960">
        <f t="shared" si="4"/>
        <v>0</v>
      </c>
      <c r="J28" s="960">
        <f t="shared" si="4"/>
        <v>0</v>
      </c>
      <c r="K28" s="960">
        <f t="shared" si="4"/>
        <v>0</v>
      </c>
      <c r="L28" s="960">
        <f t="shared" si="4"/>
        <v>0</v>
      </c>
      <c r="M28" s="965">
        <f>SUM(F28:L28)</f>
        <v>0</v>
      </c>
      <c r="N28" s="965"/>
      <c r="O28" s="960"/>
      <c r="Q28" s="962"/>
    </row>
    <row r="29" spans="1:16" ht="15.75">
      <c r="A29" s="951"/>
      <c r="B29" s="952"/>
      <c r="C29" s="952"/>
      <c r="D29" s="953"/>
      <c r="E29" s="952"/>
      <c r="F29" s="954"/>
      <c r="G29" s="954"/>
      <c r="H29" s="954"/>
      <c r="I29" s="954"/>
      <c r="J29" s="954"/>
      <c r="K29" s="954"/>
      <c r="L29" s="954"/>
      <c r="M29" s="954"/>
      <c r="P29" s="962"/>
    </row>
    <row r="30" spans="1:13" ht="15">
      <c r="A30" s="954"/>
      <c r="B30" s="954"/>
      <c r="C30" s="954"/>
      <c r="D30" s="954"/>
      <c r="E30" s="954"/>
      <c r="F30" s="954"/>
      <c r="G30" s="954"/>
      <c r="H30" s="954"/>
      <c r="I30" s="954"/>
      <c r="J30" s="954"/>
      <c r="K30" s="954"/>
      <c r="L30" s="954"/>
      <c r="M30" s="954"/>
    </row>
    <row r="31" spans="1:13" ht="15">
      <c r="A31" s="954"/>
      <c r="B31" s="954"/>
      <c r="C31" s="954"/>
      <c r="D31" s="954"/>
      <c r="E31" s="954"/>
      <c r="F31" s="954"/>
      <c r="G31" s="954"/>
      <c r="H31" s="954"/>
      <c r="I31" s="954"/>
      <c r="J31" s="954"/>
      <c r="K31" s="954"/>
      <c r="L31" s="954"/>
      <c r="M31" s="954"/>
    </row>
    <row r="32" spans="1:14" ht="15">
      <c r="A32" s="951">
        <f>+A28+1</f>
        <v>13</v>
      </c>
      <c r="B32" s="954" t="s">
        <v>1275</v>
      </c>
      <c r="C32" s="954" t="s">
        <v>1276</v>
      </c>
      <c r="D32" s="954"/>
      <c r="E32" s="954"/>
      <c r="F32" s="1013">
        <v>0</v>
      </c>
      <c r="G32" s="1013">
        <v>0</v>
      </c>
      <c r="H32" s="1013">
        <v>0</v>
      </c>
      <c r="I32" s="1013">
        <v>0</v>
      </c>
      <c r="J32" s="1013">
        <v>0</v>
      </c>
      <c r="L32" s="954"/>
      <c r="M32" s="954"/>
      <c r="N32" s="961">
        <f>SUM(F32:J32)</f>
        <v>0</v>
      </c>
    </row>
    <row r="33" spans="1:14" ht="15">
      <c r="A33" s="954"/>
      <c r="B33" s="954" t="s">
        <v>1277</v>
      </c>
      <c r="C33" s="954" t="s">
        <v>1276</v>
      </c>
      <c r="D33" s="954"/>
      <c r="E33" s="951"/>
      <c r="F33" s="1014" t="s">
        <v>814</v>
      </c>
      <c r="G33" s="1014" t="s">
        <v>814</v>
      </c>
      <c r="H33" s="1014" t="s">
        <v>814</v>
      </c>
      <c r="I33" s="1014" t="s">
        <v>814</v>
      </c>
      <c r="J33" s="1014" t="s">
        <v>814</v>
      </c>
      <c r="L33" s="954"/>
      <c r="M33" s="954"/>
      <c r="N33" s="951"/>
    </row>
    <row r="34" spans="1:14" ht="15">
      <c r="A34" s="951">
        <f>+A32+1</f>
        <v>14</v>
      </c>
      <c r="B34" s="967" t="s">
        <v>1251</v>
      </c>
      <c r="C34" s="954" t="s">
        <v>1276</v>
      </c>
      <c r="D34" s="954"/>
      <c r="E34" s="954"/>
      <c r="F34" s="1015">
        <v>0</v>
      </c>
      <c r="G34" s="1015">
        <v>0</v>
      </c>
      <c r="H34" s="1015">
        <v>0</v>
      </c>
      <c r="I34" s="1015">
        <v>0</v>
      </c>
      <c r="J34" s="1015">
        <v>0</v>
      </c>
      <c r="L34" s="954"/>
      <c r="M34" s="954"/>
      <c r="N34" s="961">
        <f t="shared" si="5" ref="N34:N40">SUM(F34:J34)/5</f>
        <v>0</v>
      </c>
    </row>
    <row r="35" spans="1:14" ht="15">
      <c r="A35" s="951">
        <f>+A34+1</f>
        <v>15</v>
      </c>
      <c r="B35" s="967" t="s">
        <v>1252</v>
      </c>
      <c r="C35" s="954" t="s">
        <v>1276</v>
      </c>
      <c r="D35" s="954"/>
      <c r="E35" s="954"/>
      <c r="F35" s="1015">
        <v>0</v>
      </c>
      <c r="G35" s="1015">
        <v>0</v>
      </c>
      <c r="H35" s="1015">
        <v>0</v>
      </c>
      <c r="I35" s="1015">
        <v>0</v>
      </c>
      <c r="J35" s="1015">
        <v>0</v>
      </c>
      <c r="L35" s="954"/>
      <c r="M35" s="954"/>
      <c r="N35" s="961">
        <f t="shared" si="5"/>
        <v>0</v>
      </c>
    </row>
    <row r="36" spans="1:14" ht="15">
      <c r="A36" s="951">
        <f t="shared" si="6" ref="A36:A66">+A35+1</f>
        <v>16</v>
      </c>
      <c r="B36" s="967" t="s">
        <v>1253</v>
      </c>
      <c r="C36" s="954" t="s">
        <v>1276</v>
      </c>
      <c r="D36" s="954"/>
      <c r="E36" s="954"/>
      <c r="F36" s="1015">
        <v>0</v>
      </c>
      <c r="G36" s="1015">
        <v>0</v>
      </c>
      <c r="H36" s="1015">
        <v>0</v>
      </c>
      <c r="I36" s="1015">
        <v>0</v>
      </c>
      <c r="J36" s="1015">
        <v>0</v>
      </c>
      <c r="L36" s="954"/>
      <c r="M36" s="954"/>
      <c r="N36" s="961">
        <f t="shared" si="5"/>
        <v>0</v>
      </c>
    </row>
    <row r="37" spans="1:14" ht="15">
      <c r="A37" s="951">
        <f t="shared" si="6"/>
        <v>17</v>
      </c>
      <c r="B37" s="967" t="s">
        <v>1254</v>
      </c>
      <c r="C37" s="954" t="s">
        <v>1276</v>
      </c>
      <c r="D37" s="954"/>
      <c r="E37" s="954"/>
      <c r="F37" s="1015">
        <v>0</v>
      </c>
      <c r="G37" s="1015">
        <v>0</v>
      </c>
      <c r="H37" s="1015">
        <v>0</v>
      </c>
      <c r="I37" s="1015">
        <v>0</v>
      </c>
      <c r="J37" s="1015">
        <v>0</v>
      </c>
      <c r="L37" s="954"/>
      <c r="M37" s="954"/>
      <c r="N37" s="961">
        <f t="shared" si="5"/>
        <v>0</v>
      </c>
    </row>
    <row r="38" spans="1:14" ht="15">
      <c r="A38" s="951">
        <f t="shared" si="6"/>
        <v>18</v>
      </c>
      <c r="B38" s="967" t="s">
        <v>1255</v>
      </c>
      <c r="C38" s="954" t="s">
        <v>1276</v>
      </c>
      <c r="D38" s="954"/>
      <c r="E38" s="954"/>
      <c r="F38" s="1015">
        <v>0</v>
      </c>
      <c r="G38" s="1015">
        <v>0</v>
      </c>
      <c r="H38" s="1015">
        <v>0</v>
      </c>
      <c r="I38" s="1015">
        <v>0</v>
      </c>
      <c r="J38" s="1015">
        <v>0</v>
      </c>
      <c r="L38" s="954"/>
      <c r="M38" s="954"/>
      <c r="N38" s="961">
        <f t="shared" si="5"/>
        <v>0</v>
      </c>
    </row>
    <row r="39" spans="1:18" ht="15.75">
      <c r="A39" s="951">
        <f t="shared" si="6"/>
        <v>19</v>
      </c>
      <c r="B39" s="967" t="s">
        <v>1256</v>
      </c>
      <c r="C39" s="954" t="s">
        <v>1276</v>
      </c>
      <c r="D39" s="954"/>
      <c r="E39" s="954"/>
      <c r="F39" s="1015">
        <v>0</v>
      </c>
      <c r="G39" s="1015">
        <v>0</v>
      </c>
      <c r="H39" s="1015">
        <v>0</v>
      </c>
      <c r="I39" s="1015">
        <v>0</v>
      </c>
      <c r="J39" s="1015">
        <v>0</v>
      </c>
      <c r="L39" s="954"/>
      <c r="M39" s="954"/>
      <c r="N39" s="961">
        <f t="shared" si="5"/>
        <v>0</v>
      </c>
      <c r="O39" s="968"/>
      <c r="Q39" s="962"/>
      <c r="R39" s="962"/>
    </row>
    <row r="40" spans="1:15" ht="15.75">
      <c r="A40" s="951">
        <f t="shared" si="6"/>
        <v>20</v>
      </c>
      <c r="B40" s="967" t="s">
        <v>1257</v>
      </c>
      <c r="C40" s="954" t="s">
        <v>1276</v>
      </c>
      <c r="D40" s="954"/>
      <c r="E40" s="954"/>
      <c r="F40" s="1013">
        <v>0</v>
      </c>
      <c r="G40" s="1013">
        <v>0</v>
      </c>
      <c r="H40" s="1013">
        <v>0</v>
      </c>
      <c r="I40" s="1013">
        <v>0</v>
      </c>
      <c r="J40" s="1013">
        <v>0</v>
      </c>
      <c r="K40" s="969"/>
      <c r="L40" s="970"/>
      <c r="M40" s="970"/>
      <c r="N40" s="971">
        <f t="shared" si="5"/>
        <v>0</v>
      </c>
      <c r="O40" s="968"/>
    </row>
    <row r="41" spans="1:14" ht="15">
      <c r="A41" s="951">
        <f t="shared" si="6"/>
        <v>21</v>
      </c>
      <c r="B41" s="954"/>
      <c r="C41" s="954"/>
      <c r="D41" s="954"/>
      <c r="E41" s="954"/>
      <c r="F41" s="960">
        <f t="shared" si="7" ref="F41:J41">SUM(F34:F40)</f>
        <v>0</v>
      </c>
      <c r="G41" s="960">
        <f t="shared" si="7"/>
        <v>0</v>
      </c>
      <c r="H41" s="960">
        <f t="shared" si="7"/>
        <v>0</v>
      </c>
      <c r="I41" s="960">
        <f t="shared" si="7"/>
        <v>0</v>
      </c>
      <c r="J41" s="960">
        <f t="shared" si="7"/>
        <v>0</v>
      </c>
      <c r="L41" s="954"/>
      <c r="M41" s="954"/>
      <c r="N41" s="960">
        <f>SUM(N34:N40)</f>
        <v>0</v>
      </c>
    </row>
    <row r="42" spans="1:14" ht="15">
      <c r="A42" s="951">
        <f t="shared" si="6"/>
        <v>22</v>
      </c>
      <c r="B42" s="954"/>
      <c r="C42" s="954"/>
      <c r="D42" s="954"/>
      <c r="E42" s="954"/>
      <c r="F42" s="972"/>
      <c r="G42" s="972"/>
      <c r="H42" s="972"/>
      <c r="I42" s="972"/>
      <c r="J42" s="972"/>
      <c r="K42" s="972"/>
      <c r="L42" s="972"/>
      <c r="M42" s="972"/>
      <c r="N42" s="961"/>
    </row>
    <row r="43" spans="1:14" ht="15">
      <c r="A43" s="951">
        <f t="shared" si="6"/>
        <v>23</v>
      </c>
      <c r="B43" s="954"/>
      <c r="C43" s="954"/>
      <c r="D43" s="954"/>
      <c r="E43" s="954"/>
      <c r="F43" s="1094" t="s">
        <v>171</v>
      </c>
      <c r="G43" s="1094"/>
      <c r="H43" s="1094"/>
      <c r="I43" s="1094"/>
      <c r="J43" s="1094"/>
      <c r="K43" s="973"/>
      <c r="L43" s="973"/>
      <c r="M43" s="973"/>
      <c r="N43" s="965"/>
    </row>
    <row r="44" spans="1:18" ht="15.75">
      <c r="A44" s="951">
        <f t="shared" si="6"/>
        <v>24</v>
      </c>
      <c r="B44" s="954" t="s">
        <v>1283</v>
      </c>
      <c r="C44" s="954"/>
      <c r="D44" s="954"/>
      <c r="E44" s="951"/>
      <c r="F44" s="1016" t="str">
        <f>F33</f>
        <v>-</v>
      </c>
      <c r="G44" s="1016" t="str">
        <f t="shared" si="8" ref="G44:J44">G33</f>
        <v>-</v>
      </c>
      <c r="H44" s="1016" t="str">
        <f t="shared" si="8"/>
        <v>-</v>
      </c>
      <c r="I44" s="1016" t="str">
        <f t="shared" si="8"/>
        <v>-</v>
      </c>
      <c r="J44" s="1016" t="str">
        <f t="shared" si="8"/>
        <v>-</v>
      </c>
      <c r="K44" s="972"/>
      <c r="L44" s="954"/>
      <c r="M44" s="954"/>
      <c r="N44" s="951"/>
      <c r="Q44" s="962"/>
      <c r="R44" s="974"/>
    </row>
    <row r="45" spans="1:15" ht="15.75">
      <c r="A45" s="951">
        <f t="shared" si="6"/>
        <v>25</v>
      </c>
      <c r="B45" s="967" t="s">
        <v>1251</v>
      </c>
      <c r="C45" s="954"/>
      <c r="D45" s="953" t="str">
        <f t="shared" si="9" ref="D45:D51">"(Line "&amp;A$32&amp;" * Line "&amp;A34&amp;")"</f>
        <v>(Line 13 * Line 14)</v>
      </c>
      <c r="E45" s="954"/>
      <c r="F45" s="960">
        <f t="shared" si="10" ref="F45:J51">+F$32*F34</f>
        <v>0</v>
      </c>
      <c r="G45" s="960">
        <f t="shared" si="10"/>
        <v>0</v>
      </c>
      <c r="H45" s="960">
        <f t="shared" si="10"/>
        <v>0</v>
      </c>
      <c r="I45" s="960">
        <f t="shared" si="10"/>
        <v>0</v>
      </c>
      <c r="J45" s="960">
        <f t="shared" si="10"/>
        <v>0</v>
      </c>
      <c r="L45" s="954"/>
      <c r="M45" s="954"/>
      <c r="N45" s="961">
        <f t="shared" si="11" ref="N45:N51">SUM(F45:J45)</f>
        <v>0</v>
      </c>
      <c r="O45" s="975"/>
    </row>
    <row r="46" spans="1:15" ht="15.75">
      <c r="A46" s="951">
        <f t="shared" si="6"/>
        <v>26</v>
      </c>
      <c r="B46" s="967" t="s">
        <v>1252</v>
      </c>
      <c r="C46" s="954"/>
      <c r="D46" s="953" t="str">
        <f t="shared" si="9"/>
        <v>(Line 13 * Line 15)</v>
      </c>
      <c r="E46" s="954"/>
      <c r="F46" s="960">
        <f t="shared" si="10"/>
        <v>0</v>
      </c>
      <c r="G46" s="960">
        <f t="shared" si="10"/>
        <v>0</v>
      </c>
      <c r="H46" s="960">
        <f t="shared" si="10"/>
        <v>0</v>
      </c>
      <c r="I46" s="960">
        <f t="shared" si="10"/>
        <v>0</v>
      </c>
      <c r="J46" s="960">
        <f t="shared" si="10"/>
        <v>0</v>
      </c>
      <c r="L46" s="954"/>
      <c r="M46" s="954"/>
      <c r="N46" s="961">
        <f t="shared" si="11"/>
        <v>0</v>
      </c>
      <c r="O46" s="975"/>
    </row>
    <row r="47" spans="1:14" ht="15">
      <c r="A47" s="951">
        <f t="shared" si="6"/>
        <v>27</v>
      </c>
      <c r="B47" s="967" t="s">
        <v>1253</v>
      </c>
      <c r="C47" s="954"/>
      <c r="D47" s="953" t="str">
        <f t="shared" si="9"/>
        <v>(Line 13 * Line 16)</v>
      </c>
      <c r="E47" s="954"/>
      <c r="F47" s="960">
        <f t="shared" si="10"/>
        <v>0</v>
      </c>
      <c r="G47" s="960">
        <f t="shared" si="10"/>
        <v>0</v>
      </c>
      <c r="H47" s="960">
        <f t="shared" si="10"/>
        <v>0</v>
      </c>
      <c r="I47" s="960">
        <f t="shared" si="10"/>
        <v>0</v>
      </c>
      <c r="J47" s="960">
        <f t="shared" si="10"/>
        <v>0</v>
      </c>
      <c r="L47" s="954"/>
      <c r="M47" s="954"/>
      <c r="N47" s="961">
        <f t="shared" si="11"/>
        <v>0</v>
      </c>
    </row>
    <row r="48" spans="1:14" ht="15">
      <c r="A48" s="951">
        <f t="shared" si="6"/>
        <v>28</v>
      </c>
      <c r="B48" s="967" t="s">
        <v>1254</v>
      </c>
      <c r="C48" s="954"/>
      <c r="D48" s="953" t="str">
        <f t="shared" si="9"/>
        <v>(Line 13 * Line 17)</v>
      </c>
      <c r="E48" s="954"/>
      <c r="F48" s="960">
        <f t="shared" si="10"/>
        <v>0</v>
      </c>
      <c r="G48" s="960">
        <f t="shared" si="10"/>
        <v>0</v>
      </c>
      <c r="H48" s="960">
        <f t="shared" si="10"/>
        <v>0</v>
      </c>
      <c r="I48" s="960">
        <f t="shared" si="10"/>
        <v>0</v>
      </c>
      <c r="J48" s="960">
        <f t="shared" si="10"/>
        <v>0</v>
      </c>
      <c r="L48" s="954"/>
      <c r="M48" s="954"/>
      <c r="N48" s="961">
        <f t="shared" si="11"/>
        <v>0</v>
      </c>
    </row>
    <row r="49" spans="1:14" ht="15">
      <c r="A49" s="951">
        <f t="shared" si="6"/>
        <v>29</v>
      </c>
      <c r="B49" s="967" t="s">
        <v>1255</v>
      </c>
      <c r="C49" s="954"/>
      <c r="D49" s="953" t="str">
        <f t="shared" si="9"/>
        <v>(Line 13 * Line 18)</v>
      </c>
      <c r="E49" s="954"/>
      <c r="F49" s="960">
        <f t="shared" si="10"/>
        <v>0</v>
      </c>
      <c r="G49" s="960">
        <f t="shared" si="10"/>
        <v>0</v>
      </c>
      <c r="H49" s="960">
        <f t="shared" si="10"/>
        <v>0</v>
      </c>
      <c r="I49" s="960">
        <f t="shared" si="10"/>
        <v>0</v>
      </c>
      <c r="J49" s="960">
        <f t="shared" si="10"/>
        <v>0</v>
      </c>
      <c r="L49" s="954"/>
      <c r="M49" s="954"/>
      <c r="N49" s="961">
        <f t="shared" si="11"/>
        <v>0</v>
      </c>
    </row>
    <row r="50" spans="1:18" ht="15.75">
      <c r="A50" s="951">
        <f t="shared" si="6"/>
        <v>30</v>
      </c>
      <c r="B50" s="967" t="s">
        <v>1256</v>
      </c>
      <c r="C50" s="954"/>
      <c r="D50" s="953" t="str">
        <f t="shared" si="9"/>
        <v>(Line 13 * Line 19)</v>
      </c>
      <c r="E50" s="954"/>
      <c r="F50" s="960">
        <f t="shared" si="10"/>
        <v>0</v>
      </c>
      <c r="G50" s="960">
        <f t="shared" si="10"/>
        <v>0</v>
      </c>
      <c r="H50" s="960">
        <f t="shared" si="10"/>
        <v>0</v>
      </c>
      <c r="I50" s="960">
        <f t="shared" si="10"/>
        <v>0</v>
      </c>
      <c r="J50" s="960">
        <f t="shared" si="10"/>
        <v>0</v>
      </c>
      <c r="L50" s="972"/>
      <c r="M50" s="972"/>
      <c r="N50" s="961">
        <f t="shared" si="11"/>
        <v>0</v>
      </c>
      <c r="O50" s="968"/>
      <c r="Q50" s="962"/>
      <c r="R50" s="976"/>
    </row>
    <row r="51" spans="1:15" ht="15.75">
      <c r="A51" s="951">
        <f t="shared" si="6"/>
        <v>31</v>
      </c>
      <c r="B51" s="967" t="s">
        <v>1257</v>
      </c>
      <c r="C51" s="954"/>
      <c r="D51" s="953" t="str">
        <f t="shared" si="9"/>
        <v>(Line 13 * Line 20)</v>
      </c>
      <c r="E51" s="954"/>
      <c r="F51" s="958">
        <f t="shared" si="10"/>
        <v>0</v>
      </c>
      <c r="G51" s="958">
        <f t="shared" si="10"/>
        <v>0</v>
      </c>
      <c r="H51" s="958">
        <f t="shared" si="10"/>
        <v>0</v>
      </c>
      <c r="I51" s="958">
        <f t="shared" si="10"/>
        <v>0</v>
      </c>
      <c r="J51" s="958">
        <f t="shared" si="10"/>
        <v>0</v>
      </c>
      <c r="K51" s="969"/>
      <c r="L51" s="970"/>
      <c r="M51" s="970"/>
      <c r="N51" s="971">
        <f t="shared" si="11"/>
        <v>0</v>
      </c>
      <c r="O51" s="977"/>
    </row>
    <row r="52" spans="1:15" ht="15.75">
      <c r="A52" s="951">
        <f t="shared" si="6"/>
        <v>32</v>
      </c>
      <c r="B52" s="954"/>
      <c r="C52" s="954"/>
      <c r="D52" s="954"/>
      <c r="E52" s="954"/>
      <c r="F52" s="961">
        <f t="shared" si="12" ref="F52:J52">SUM(F45:F51)</f>
        <v>0</v>
      </c>
      <c r="G52" s="961">
        <f t="shared" si="12"/>
        <v>0</v>
      </c>
      <c r="H52" s="961">
        <f t="shared" si="12"/>
        <v>0</v>
      </c>
      <c r="I52" s="961">
        <f t="shared" si="12"/>
        <v>0</v>
      </c>
      <c r="J52" s="961">
        <f t="shared" si="12"/>
        <v>0</v>
      </c>
      <c r="L52" s="954"/>
      <c r="M52" s="954"/>
      <c r="N52" s="961">
        <f>SUM(N45:N51)</f>
        <v>0</v>
      </c>
      <c r="O52" s="975"/>
    </row>
    <row r="53" spans="1:13" ht="15">
      <c r="A53" s="951">
        <f t="shared" si="6"/>
        <v>33</v>
      </c>
      <c r="B53" s="954"/>
      <c r="C53" s="954"/>
      <c r="D53" s="954"/>
      <c r="E53" s="954"/>
      <c r="F53" s="954"/>
      <c r="G53" s="954"/>
      <c r="H53" s="954"/>
      <c r="I53" s="954"/>
      <c r="J53" s="954"/>
      <c r="K53" s="954"/>
      <c r="L53" s="954"/>
      <c r="M53" s="954"/>
    </row>
    <row r="54" spans="1:13" ht="15">
      <c r="A54" s="951">
        <f t="shared" si="6"/>
        <v>34</v>
      </c>
      <c r="B54" s="954"/>
      <c r="C54" s="954"/>
      <c r="D54" s="954"/>
      <c r="E54" s="954"/>
      <c r="F54" s="954"/>
      <c r="G54" s="954"/>
      <c r="H54" s="954"/>
      <c r="I54" s="954"/>
      <c r="J54" s="954"/>
      <c r="K54" s="954"/>
      <c r="L54" s="954"/>
      <c r="M54" s="954"/>
    </row>
    <row r="55" spans="1:13" ht="51">
      <c r="A55" s="951">
        <f t="shared" si="6"/>
        <v>35</v>
      </c>
      <c r="B55" s="954"/>
      <c r="C55" s="954"/>
      <c r="D55" s="954"/>
      <c r="E55" s="978"/>
      <c r="F55" s="978"/>
      <c r="G55" s="979" t="s">
        <v>1284</v>
      </c>
      <c r="H55" s="954"/>
      <c r="I55" s="980"/>
      <c r="J55" s="979" t="s">
        <v>1285</v>
      </c>
      <c r="K55" s="979" t="s">
        <v>1286</v>
      </c>
      <c r="L55" s="954"/>
      <c r="M55" s="954"/>
    </row>
    <row r="56" spans="1:13" ht="15">
      <c r="A56" s="951">
        <f t="shared" si="6"/>
        <v>36</v>
      </c>
      <c r="B56" s="954"/>
      <c r="C56" s="954"/>
      <c r="D56" s="954"/>
      <c r="E56" s="954"/>
      <c r="F56" s="954"/>
      <c r="G56" s="954"/>
      <c r="H56" s="954"/>
      <c r="I56" s="954"/>
      <c r="J56" s="954"/>
      <c r="K56" s="954"/>
      <c r="L56" s="954"/>
      <c r="M56" s="954"/>
    </row>
    <row r="57" spans="1:15" ht="15.75">
      <c r="A57" s="951">
        <f t="shared" si="6"/>
        <v>37</v>
      </c>
      <c r="B57" s="954"/>
      <c r="C57" s="954"/>
      <c r="D57" s="954"/>
      <c r="E57" s="954"/>
      <c r="F57" s="982" t="s">
        <v>1251</v>
      </c>
      <c r="G57" s="961">
        <f t="shared" si="13" ref="G57:G63">N45</f>
        <v>0</v>
      </c>
      <c r="H57" s="954"/>
      <c r="I57" s="982" t="s">
        <v>1287</v>
      </c>
      <c r="J57" s="956">
        <f t="shared" si="14" ref="J57:J63">G57*$J$64</f>
        <v>0</v>
      </c>
      <c r="K57" s="956">
        <f>+J57</f>
        <v>0</v>
      </c>
      <c r="L57" s="951"/>
      <c r="M57" s="954"/>
      <c r="N57" s="976"/>
      <c r="O57" s="968"/>
    </row>
    <row r="58" spans="1:15" ht="15.75">
      <c r="A58" s="951">
        <f t="shared" si="6"/>
        <v>38</v>
      </c>
      <c r="B58" s="954"/>
      <c r="C58" s="954"/>
      <c r="D58" s="954"/>
      <c r="E58" s="954"/>
      <c r="F58" s="982" t="s">
        <v>1252</v>
      </c>
      <c r="G58" s="961">
        <f t="shared" si="13"/>
        <v>0</v>
      </c>
      <c r="H58" s="954"/>
      <c r="I58" s="982" t="s">
        <v>1252</v>
      </c>
      <c r="J58" s="956">
        <f t="shared" si="14"/>
        <v>0</v>
      </c>
      <c r="K58" s="956">
        <f>+J58</f>
        <v>0</v>
      </c>
      <c r="L58" s="951"/>
      <c r="M58" s="954"/>
      <c r="N58" s="976"/>
      <c r="O58" s="968"/>
    </row>
    <row r="59" spans="1:13" ht="15">
      <c r="A59" s="951">
        <f t="shared" si="6"/>
        <v>39</v>
      </c>
      <c r="B59" s="954"/>
      <c r="C59" s="954"/>
      <c r="D59" s="954"/>
      <c r="E59" s="954"/>
      <c r="F59" s="982" t="s">
        <v>1253</v>
      </c>
      <c r="G59" s="961">
        <f t="shared" si="13"/>
        <v>0</v>
      </c>
      <c r="H59" s="954"/>
      <c r="I59" s="982" t="s">
        <v>1288</v>
      </c>
      <c r="J59" s="956">
        <f t="shared" si="14"/>
        <v>0</v>
      </c>
      <c r="K59" s="956">
        <f>+J59+J65</f>
        <v>0</v>
      </c>
      <c r="L59" s="951"/>
      <c r="M59" s="954"/>
    </row>
    <row r="60" spans="1:13" ht="15">
      <c r="A60" s="951">
        <f t="shared" si="6"/>
        <v>40</v>
      </c>
      <c r="B60" s="954"/>
      <c r="C60" s="954"/>
      <c r="D60" s="954"/>
      <c r="E60" s="954"/>
      <c r="F60" s="982" t="s">
        <v>1254</v>
      </c>
      <c r="G60" s="961">
        <f t="shared" si="13"/>
        <v>0</v>
      </c>
      <c r="H60" s="954"/>
      <c r="I60" s="982" t="s">
        <v>1289</v>
      </c>
      <c r="J60" s="956">
        <f t="shared" si="14"/>
        <v>0</v>
      </c>
      <c r="K60" s="956">
        <f>+J60</f>
        <v>0</v>
      </c>
      <c r="L60" s="951"/>
      <c r="M60" s="954"/>
    </row>
    <row r="61" spans="1:13" ht="15">
      <c r="A61" s="951">
        <f t="shared" si="6"/>
        <v>41</v>
      </c>
      <c r="B61" s="954"/>
      <c r="C61" s="954"/>
      <c r="D61" s="954"/>
      <c r="E61" s="954"/>
      <c r="F61" s="982" t="s">
        <v>1255</v>
      </c>
      <c r="G61" s="961">
        <f t="shared" si="13"/>
        <v>0</v>
      </c>
      <c r="H61" s="954"/>
      <c r="I61" s="982" t="s">
        <v>1255</v>
      </c>
      <c r="J61" s="956">
        <f t="shared" si="14"/>
        <v>0</v>
      </c>
      <c r="K61" s="956">
        <f>+J61</f>
        <v>0</v>
      </c>
      <c r="L61" s="951"/>
      <c r="M61" s="954"/>
    </row>
    <row r="62" spans="1:13" ht="15">
      <c r="A62" s="951">
        <f t="shared" si="6"/>
        <v>42</v>
      </c>
      <c r="B62" s="954"/>
      <c r="C62" s="954"/>
      <c r="D62" s="954"/>
      <c r="E62" s="954"/>
      <c r="F62" s="982" t="s">
        <v>1256</v>
      </c>
      <c r="G62" s="961">
        <f t="shared" si="13"/>
        <v>0</v>
      </c>
      <c r="H62" s="954"/>
      <c r="I62" s="982" t="s">
        <v>1290</v>
      </c>
      <c r="J62" s="956">
        <f t="shared" si="14"/>
        <v>0</v>
      </c>
      <c r="K62" s="956">
        <f>+J62</f>
        <v>0</v>
      </c>
      <c r="L62" s="951"/>
      <c r="M62" s="954"/>
    </row>
    <row r="63" spans="1:13" ht="15">
      <c r="A63" s="951">
        <f t="shared" si="6"/>
        <v>43</v>
      </c>
      <c r="B63" s="954"/>
      <c r="C63" s="954"/>
      <c r="D63" s="954"/>
      <c r="E63" s="954"/>
      <c r="F63" s="982" t="s">
        <v>1257</v>
      </c>
      <c r="G63" s="971">
        <f t="shared" si="13"/>
        <v>0</v>
      </c>
      <c r="H63" s="954"/>
      <c r="I63" s="982" t="s">
        <v>1291</v>
      </c>
      <c r="J63" s="956">
        <f t="shared" si="14"/>
        <v>0</v>
      </c>
      <c r="K63" s="957">
        <f>+J63</f>
        <v>0</v>
      </c>
      <c r="L63" s="951"/>
      <c r="M63" s="954"/>
    </row>
    <row r="64" spans="1:11" ht="15">
      <c r="A64" s="951">
        <f t="shared" si="6"/>
        <v>44</v>
      </c>
      <c r="B64" s="954"/>
      <c r="C64" s="954"/>
      <c r="D64" s="954"/>
      <c r="E64" s="954"/>
      <c r="F64" s="954"/>
      <c r="G64" s="961">
        <f>SUM(G57:G63)</f>
        <v>0</v>
      </c>
      <c r="H64" s="954"/>
      <c r="I64" s="982" t="s">
        <v>1292</v>
      </c>
      <c r="J64" s="1017">
        <v>0</v>
      </c>
      <c r="K64" s="961">
        <f>SUM(K57:K63)</f>
        <v>0</v>
      </c>
    </row>
    <row r="65" spans="1:12" ht="15">
      <c r="A65" s="951">
        <f t="shared" si="6"/>
        <v>45</v>
      </c>
      <c r="B65" s="954"/>
      <c r="C65" s="954"/>
      <c r="D65" s="954"/>
      <c r="E65" s="954"/>
      <c r="F65" s="954"/>
      <c r="G65" s="984"/>
      <c r="H65" s="954"/>
      <c r="I65" s="982" t="s">
        <v>1293</v>
      </c>
      <c r="J65" s="1018">
        <v>0</v>
      </c>
      <c r="K65" s="985"/>
      <c r="L65" s="985"/>
    </row>
    <row r="66" spans="1:12" ht="15">
      <c r="A66" s="951">
        <f t="shared" si="6"/>
        <v>46</v>
      </c>
      <c r="B66" s="954"/>
      <c r="C66" s="954"/>
      <c r="D66" s="954"/>
      <c r="E66" s="954"/>
      <c r="F66" s="954"/>
      <c r="G66" s="984"/>
      <c r="H66" s="954"/>
      <c r="I66" s="982"/>
      <c r="J66" s="961">
        <f>SUM(J64:J65)</f>
        <v>0</v>
      </c>
      <c r="K66" s="985"/>
      <c r="L66" s="985"/>
    </row>
    <row r="67" spans="1:1" ht="15">
      <c r="A67" s="951"/>
    </row>
    <row r="68" spans="1:13" ht="15">
      <c r="A68" s="951" t="s">
        <v>290</v>
      </c>
      <c r="B68" s="952"/>
      <c r="C68" s="952"/>
      <c r="D68" s="952"/>
      <c r="E68" s="952"/>
      <c r="F68" s="954"/>
      <c r="G68" s="954"/>
      <c r="H68" s="954"/>
      <c r="I68" s="954"/>
      <c r="J68" s="954"/>
      <c r="K68" s="954"/>
      <c r="L68" s="986"/>
      <c r="M68" s="986"/>
    </row>
    <row r="69" spans="1:13" ht="15">
      <c r="A69" s="951" t="s">
        <v>236</v>
      </c>
      <c r="B69" s="954" t="s">
        <v>1294</v>
      </c>
      <c r="C69" s="954"/>
      <c r="D69" s="961"/>
      <c r="E69" s="954"/>
      <c r="F69" s="954"/>
      <c r="G69" s="954"/>
      <c r="H69" s="954"/>
      <c r="I69" s="954"/>
      <c r="J69" s="954"/>
      <c r="K69" s="954"/>
      <c r="L69" s="986"/>
      <c r="M69" s="986"/>
    </row>
    <row r="70" spans="1:10" ht="15">
      <c r="A70" s="951"/>
      <c r="B70" s="954" t="s">
        <v>1295</v>
      </c>
      <c r="C70" s="954"/>
      <c r="D70" s="961"/>
      <c r="E70" s="954"/>
      <c r="F70" s="954"/>
      <c r="G70" s="954"/>
      <c r="H70" s="954"/>
      <c r="I70" s="954"/>
      <c r="J70" s="954"/>
    </row>
    <row r="71" spans="1:10" ht="15">
      <c r="A71" s="951" t="s">
        <v>238</v>
      </c>
      <c r="B71" s="952" t="s">
        <v>1296</v>
      </c>
      <c r="C71" s="954"/>
      <c r="D71" s="954"/>
      <c r="E71" s="954"/>
      <c r="F71" s="954"/>
      <c r="G71" s="954"/>
      <c r="H71" s="954"/>
      <c r="I71" s="954"/>
      <c r="J71" s="954"/>
    </row>
    <row r="72" spans="1:10" ht="15">
      <c r="A72" s="951" t="s">
        <v>251</v>
      </c>
      <c r="B72" s="954" t="s">
        <v>1297</v>
      </c>
      <c r="C72" s="952"/>
      <c r="D72" s="952"/>
      <c r="E72" s="952"/>
      <c r="F72" s="954"/>
      <c r="G72" s="954"/>
      <c r="H72" s="954"/>
      <c r="I72" s="954"/>
      <c r="J72" s="954"/>
    </row>
    <row r="73" spans="1:2" ht="15">
      <c r="A73" s="951" t="s">
        <v>252</v>
      </c>
      <c r="B73" s="987" t="s">
        <v>1316</v>
      </c>
    </row>
    <row r="74" spans="1:2" ht="15">
      <c r="A74" s="951" t="s">
        <v>253</v>
      </c>
      <c r="B74" s="987" t="s">
        <v>1317</v>
      </c>
    </row>
    <row r="75" spans="1:2" ht="15">
      <c r="A75" s="951" t="s">
        <v>254</v>
      </c>
      <c r="B75" s="987" t="s">
        <v>1300</v>
      </c>
    </row>
    <row r="76" spans="13:13" ht="15">
      <c r="M76" s="941" t="s">
        <v>591</v>
      </c>
    </row>
    <row r="78" spans="7:7" ht="15">
      <c r="G78" s="943" t="str">
        <f>G3</f>
        <v>Attachment 13a</v>
      </c>
    </row>
    <row r="79" spans="7:7" ht="15">
      <c r="G79" s="943" t="str">
        <f>G4</f>
        <v>Actual ownership</v>
      </c>
    </row>
    <row r="80" spans="7:7" ht="15">
      <c r="G80" s="944" t="str">
        <f>G5</f>
        <v>GridLiance High Plains LLC</v>
      </c>
    </row>
    <row r="83" spans="1:13" ht="15">
      <c r="A83" s="988"/>
      <c r="B83" s="989"/>
      <c r="C83" s="989"/>
      <c r="D83" s="989"/>
      <c r="E83" s="989"/>
      <c r="F83" s="989"/>
      <c r="G83" s="989"/>
      <c r="H83" s="989"/>
      <c r="I83" s="989"/>
      <c r="J83" s="989"/>
      <c r="K83" s="989"/>
      <c r="L83" s="989"/>
      <c r="M83" s="990"/>
    </row>
    <row r="84" spans="1:13" ht="15">
      <c r="A84" s="987"/>
      <c r="B84" s="947" t="s">
        <v>27</v>
      </c>
      <c r="D84" s="947" t="s">
        <v>28</v>
      </c>
      <c r="F84" s="947" t="s">
        <v>29</v>
      </c>
      <c r="H84" s="947" t="s">
        <v>31</v>
      </c>
      <c r="J84" s="947" t="s">
        <v>32</v>
      </c>
      <c r="L84" s="947" t="s">
        <v>1301</v>
      </c>
      <c r="M84" s="991"/>
    </row>
    <row r="85" spans="1:13" ht="63.75">
      <c r="A85" s="992" t="s">
        <v>1</v>
      </c>
      <c r="B85" s="993" t="s">
        <v>1012</v>
      </c>
      <c r="C85" s="994"/>
      <c r="D85" s="995" t="s">
        <v>1302</v>
      </c>
      <c r="E85" s="994"/>
      <c r="F85" s="995" t="s">
        <v>1303</v>
      </c>
      <c r="G85" s="996"/>
      <c r="H85" s="995" t="s">
        <v>1304</v>
      </c>
      <c r="I85" s="996"/>
      <c r="J85" s="995" t="s">
        <v>1305</v>
      </c>
      <c r="K85" s="996"/>
      <c r="L85" s="995" t="s">
        <v>1306</v>
      </c>
      <c r="M85" s="997"/>
    </row>
    <row r="86" spans="1:13" ht="15">
      <c r="A86" s="998">
        <v>1</v>
      </c>
      <c r="B86" s="999" t="s">
        <v>1318</v>
      </c>
      <c r="C86" s="1000"/>
      <c r="D86" s="955">
        <v>0</v>
      </c>
      <c r="E86" s="1001"/>
      <c r="F86" s="955">
        <v>0</v>
      </c>
      <c r="G86" s="1001"/>
      <c r="H86" s="955">
        <v>0</v>
      </c>
      <c r="I86" s="1001"/>
      <c r="J86" s="960">
        <f>D86*F86</f>
        <v>0</v>
      </c>
      <c r="K86" s="960"/>
      <c r="L86" s="960">
        <f>D86*H86</f>
        <v>0</v>
      </c>
      <c r="M86" s="1002"/>
    </row>
    <row r="87" spans="1:13" ht="15">
      <c r="A87" s="998">
        <f>+A86+1</f>
        <v>2</v>
      </c>
      <c r="B87" s="999" t="s">
        <v>1308</v>
      </c>
      <c r="C87" s="1000"/>
      <c r="D87" s="955">
        <v>0</v>
      </c>
      <c r="E87" s="1001"/>
      <c r="F87" s="955">
        <v>0</v>
      </c>
      <c r="G87" s="1001"/>
      <c r="H87" s="955">
        <v>0</v>
      </c>
      <c r="I87" s="1001"/>
      <c r="J87" s="960">
        <f>D87*F87</f>
        <v>0</v>
      </c>
      <c r="K87" s="960"/>
      <c r="L87" s="960">
        <f>D87*H87</f>
        <v>0</v>
      </c>
      <c r="M87" s="1002"/>
    </row>
    <row r="88" spans="1:13" ht="15">
      <c r="A88" s="998">
        <f>+A87+1</f>
        <v>3</v>
      </c>
      <c r="B88" s="999" t="s">
        <v>1309</v>
      </c>
      <c r="C88" s="1000"/>
      <c r="D88" s="955">
        <v>0</v>
      </c>
      <c r="E88" s="1001"/>
      <c r="F88" s="955">
        <v>0</v>
      </c>
      <c r="G88" s="1001"/>
      <c r="H88" s="955">
        <v>0</v>
      </c>
      <c r="I88" s="1001"/>
      <c r="J88" s="960">
        <f>D88*F88</f>
        <v>0</v>
      </c>
      <c r="K88" s="960"/>
      <c r="L88" s="960">
        <f>D88*H88</f>
        <v>0</v>
      </c>
      <c r="M88" s="1002"/>
    </row>
    <row r="89" spans="1:13" ht="15">
      <c r="A89" s="998">
        <f>+A88+1</f>
        <v>4</v>
      </c>
      <c r="B89" s="999" t="s">
        <v>1310</v>
      </c>
      <c r="C89" s="1000"/>
      <c r="D89" s="955">
        <v>0</v>
      </c>
      <c r="E89" s="1001"/>
      <c r="F89" s="955">
        <v>0</v>
      </c>
      <c r="G89" s="1001"/>
      <c r="H89" s="955">
        <v>0</v>
      </c>
      <c r="I89" s="1001"/>
      <c r="J89" s="960">
        <f>D89*F89</f>
        <v>0</v>
      </c>
      <c r="K89" s="960"/>
      <c r="L89" s="960">
        <f>D89*H89</f>
        <v>0</v>
      </c>
      <c r="M89" s="1002"/>
    </row>
    <row r="90" spans="1:13" ht="15">
      <c r="A90" s="1003">
        <f>+A89+1</f>
        <v>5</v>
      </c>
      <c r="B90" s="1004" t="s">
        <v>1311</v>
      </c>
      <c r="C90" s="1005"/>
      <c r="D90" s="1006">
        <v>0</v>
      </c>
      <c r="E90" s="996"/>
      <c r="F90" s="1006">
        <v>0</v>
      </c>
      <c r="G90" s="996"/>
      <c r="H90" s="1006">
        <v>0</v>
      </c>
      <c r="I90" s="996"/>
      <c r="J90" s="960">
        <f>D90*F90</f>
        <v>0</v>
      </c>
      <c r="K90" s="960"/>
      <c r="L90" s="960">
        <f>D90*H90</f>
        <v>0</v>
      </c>
      <c r="M90" s="1002"/>
    </row>
    <row r="91" spans="1:13" ht="15">
      <c r="A91" s="998">
        <f>+A90+1</f>
        <v>6</v>
      </c>
      <c r="B91" s="1007" t="s">
        <v>1312</v>
      </c>
      <c r="C91" s="1000"/>
      <c r="D91" s="1001"/>
      <c r="E91" s="1001"/>
      <c r="F91" s="1001"/>
      <c r="G91" s="1001"/>
      <c r="H91" s="1001"/>
      <c r="I91" s="1001"/>
      <c r="J91" s="983">
        <f>SUM(J86:J90)</f>
        <v>0</v>
      </c>
      <c r="K91" s="1008"/>
      <c r="L91" s="1008">
        <f>SUM(L86:L90)</f>
        <v>0</v>
      </c>
      <c r="M91" s="1009"/>
    </row>
    <row r="92" spans="1:13" ht="15.75">
      <c r="A92" s="1010"/>
      <c r="B92" s="1011"/>
      <c r="C92" s="1011"/>
      <c r="D92" s="1011"/>
      <c r="E92" s="1011"/>
      <c r="F92" s="1011"/>
      <c r="G92" s="1011"/>
      <c r="H92" s="1011"/>
      <c r="I92" s="1011"/>
      <c r="J92" s="1012"/>
      <c r="K92" s="1012"/>
      <c r="L92" s="1012"/>
      <c r="M92" s="1012"/>
    </row>
  </sheetData>
  <mergeCells count="1">
    <mergeCell ref="F43:J43"/>
  </mergeCells>
  <pageMargins left="0.25" right="0.25" top="0.75" bottom="0.75" header="0.3" footer="0.3"/>
  <pageSetup orientation="portrait" scale="44"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AE8CE-CBF8-4297-89F7-339CFA0D2BBE}">
  <sheetPr>
    <tabColor rgb="FF00B050"/>
  </sheetPr>
  <dimension ref="A1:U282"/>
  <sheetViews>
    <sheetView view="pageBreakPreview" zoomScale="75" zoomScaleNormal="65" zoomScaleSheetLayoutView="75" workbookViewId="0" topLeftCell="A1">
      <selection pane="topLeft" activeCell="L28" sqref="L28"/>
    </sheetView>
  </sheetViews>
  <sheetFormatPr defaultColWidth="11.4255555555556" defaultRowHeight="13.2"/>
  <cols>
    <col min="1" max="1" width="7.66666666666667" style="1" customWidth="1"/>
    <col min="2" max="2" width="1.88888888888889" style="1" customWidth="1"/>
    <col min="3" max="3" width="46.3333333333333" style="1" customWidth="1"/>
    <col min="4" max="4" width="17.6666666666667" style="1" customWidth="1"/>
    <col min="5" max="5" width="22.5555555555556" style="1" customWidth="1"/>
    <col min="6" max="6" width="16.8888888888889" style="1" customWidth="1"/>
    <col min="7" max="7" width="18.5555555555556" style="1" customWidth="1"/>
    <col min="8" max="8" width="21" style="1" customWidth="1"/>
    <col min="9" max="9" width="17.6666666666667" style="1" customWidth="1"/>
    <col min="10" max="10" width="18.5555555555556" style="1" customWidth="1"/>
    <col min="11" max="11" width="17.4444444444444" style="1" customWidth="1"/>
    <col min="12" max="12" width="20.3333333333333" style="1" customWidth="1"/>
    <col min="13" max="13" width="24.6666666666667" style="1" customWidth="1"/>
    <col min="14" max="15" width="18.5555555555556" style="1" customWidth="1"/>
    <col min="16" max="16" width="16.4444444444444" style="1" customWidth="1"/>
    <col min="17" max="17" width="17.8888888888889" style="1" customWidth="1"/>
    <col min="18" max="18" width="12" style="1" customWidth="1"/>
    <col min="19" max="19" width="16.6666666666667" style="1" customWidth="1"/>
    <col min="20" max="16384" width="11.4444444444444" style="1"/>
  </cols>
  <sheetData>
    <row r="1" spans="17:17" ht="12.75">
      <c r="Q1" s="209"/>
    </row>
    <row r="2" spans="13:17" ht="12.75">
      <c r="M2" s="1" t="s">
        <v>307</v>
      </c>
      <c r="Q2" s="209"/>
    </row>
    <row r="4" spans="17:17" ht="12.75">
      <c r="Q4" s="209"/>
    </row>
    <row r="5" spans="4:21" ht="12.75">
      <c r="D5" s="157"/>
      <c r="E5" s="157"/>
      <c r="F5" s="157"/>
      <c r="G5" s="6" t="s">
        <v>24</v>
      </c>
      <c r="H5" s="157"/>
      <c r="I5" s="157"/>
      <c r="J5" s="157"/>
      <c r="K5" s="157"/>
      <c r="L5" s="62"/>
      <c r="M5" s="210"/>
      <c r="N5" s="210"/>
      <c r="O5" s="210"/>
      <c r="P5" s="210"/>
      <c r="Q5" s="210"/>
      <c r="R5" s="161"/>
      <c r="S5" s="211"/>
      <c r="T5" s="211"/>
      <c r="U5" s="161"/>
    </row>
    <row r="6" spans="4:21" ht="12.75">
      <c r="D6" s="157"/>
      <c r="E6" s="160" t="s">
        <v>30</v>
      </c>
      <c r="F6" s="160"/>
      <c r="G6" s="6" t="s">
        <v>2</v>
      </c>
      <c r="H6" s="160"/>
      <c r="I6" s="160"/>
      <c r="J6" s="160"/>
      <c r="K6" s="157"/>
      <c r="P6" s="161"/>
      <c r="Q6" s="157"/>
      <c r="R6" s="161"/>
      <c r="S6" s="212"/>
      <c r="T6" s="211"/>
      <c r="U6" s="161"/>
    </row>
    <row r="7" spans="3:21" ht="12.75">
      <c r="C7" s="161"/>
      <c r="D7" s="161"/>
      <c r="E7" s="161"/>
      <c r="F7" s="161"/>
      <c r="G7" s="37" t="str">
        <f>+'Attachment H'!D5</f>
        <v>GridLiance High Plains LLC</v>
      </c>
      <c r="H7" s="161"/>
      <c r="I7" s="161"/>
      <c r="J7" s="161"/>
      <c r="K7" s="161"/>
      <c r="P7" s="161"/>
      <c r="Q7" s="161"/>
      <c r="R7" s="161"/>
      <c r="S7" s="211"/>
      <c r="T7" s="211"/>
      <c r="U7" s="161"/>
    </row>
    <row r="8" spans="1:21" ht="12.75">
      <c r="A8" s="6"/>
      <c r="C8" s="161"/>
      <c r="D8" s="161"/>
      <c r="E8" s="161"/>
      <c r="F8" s="161"/>
      <c r="H8" s="161"/>
      <c r="I8" s="161"/>
      <c r="J8" s="161"/>
      <c r="K8" s="161"/>
      <c r="L8" s="161"/>
      <c r="M8" s="161"/>
      <c r="N8" s="161"/>
      <c r="O8" s="161"/>
      <c r="P8" s="161"/>
      <c r="Q8" s="161"/>
      <c r="R8" s="161"/>
      <c r="S8" s="211"/>
      <c r="T8" s="211"/>
      <c r="U8" s="161"/>
    </row>
    <row r="9" spans="1:21" ht="12.75">
      <c r="A9" s="6"/>
      <c r="C9" s="161"/>
      <c r="D9" s="161"/>
      <c r="E9" s="161"/>
      <c r="F9" s="161"/>
      <c r="G9" s="213"/>
      <c r="H9" s="161"/>
      <c r="I9" s="161"/>
      <c r="J9" s="161"/>
      <c r="K9" s="161"/>
      <c r="L9" s="161"/>
      <c r="M9" s="161"/>
      <c r="N9" s="161"/>
      <c r="O9" s="161"/>
      <c r="P9" s="161"/>
      <c r="Q9" s="161"/>
      <c r="R9" s="161"/>
      <c r="S9" s="211"/>
      <c r="T9" s="211"/>
      <c r="U9" s="161"/>
    </row>
    <row r="10" spans="1:21" ht="12.75">
      <c r="A10" s="6"/>
      <c r="C10" s="161" t="s">
        <v>308</v>
      </c>
      <c r="D10" s="161"/>
      <c r="E10" s="161"/>
      <c r="F10" s="161"/>
      <c r="G10" s="213"/>
      <c r="H10" s="161"/>
      <c r="I10" s="161"/>
      <c r="J10" s="161"/>
      <c r="K10" s="161"/>
      <c r="L10" s="161"/>
      <c r="M10" s="161"/>
      <c r="N10" s="161"/>
      <c r="O10" s="161"/>
      <c r="P10" s="161"/>
      <c r="Q10" s="161"/>
      <c r="R10" s="161"/>
      <c r="S10" s="211"/>
      <c r="T10" s="211"/>
      <c r="U10" s="161"/>
    </row>
    <row r="11" spans="1:21" ht="12.75">
      <c r="A11" s="6"/>
      <c r="C11" s="161" t="s">
        <v>309</v>
      </c>
      <c r="D11" s="161"/>
      <c r="E11" s="161"/>
      <c r="F11" s="161"/>
      <c r="G11" s="213"/>
      <c r="L11" s="161"/>
      <c r="M11" s="161"/>
      <c r="N11" s="161"/>
      <c r="O11" s="161"/>
      <c r="P11" s="161"/>
      <c r="Q11" s="161"/>
      <c r="R11" s="161"/>
      <c r="S11" s="161"/>
      <c r="T11" s="161"/>
      <c r="U11" s="161"/>
    </row>
    <row r="12" spans="1:21" ht="12.75">
      <c r="A12" s="6"/>
      <c r="C12" s="1040" t="s">
        <v>310</v>
      </c>
      <c r="D12" s="1040"/>
      <c r="E12" s="1040"/>
      <c r="F12" s="1040"/>
      <c r="G12" s="1040"/>
      <c r="H12" s="1040"/>
      <c r="I12" s="1040"/>
      <c r="J12" s="1040"/>
      <c r="K12" s="1040"/>
      <c r="L12" s="1040"/>
      <c r="M12" s="1040"/>
      <c r="N12" s="1040"/>
      <c r="O12" s="1040"/>
      <c r="P12" s="1040"/>
      <c r="Q12" s="1040"/>
      <c r="R12" s="161"/>
      <c r="S12" s="161"/>
      <c r="T12" s="161"/>
      <c r="U12" s="161"/>
    </row>
    <row r="13" spans="1:21" ht="12.75">
      <c r="A13" s="6"/>
      <c r="C13" s="161" t="s">
        <v>311</v>
      </c>
      <c r="D13" s="161"/>
      <c r="E13" s="161"/>
      <c r="F13" s="161"/>
      <c r="G13" s="161"/>
      <c r="L13" s="160"/>
      <c r="M13" s="160"/>
      <c r="N13" s="160"/>
      <c r="O13" s="160"/>
      <c r="P13" s="161"/>
      <c r="Q13" s="161"/>
      <c r="R13" s="161"/>
      <c r="S13" s="161"/>
      <c r="T13" s="161"/>
      <c r="U13" s="161"/>
    </row>
    <row r="14" spans="3:21" ht="12.75">
      <c r="C14" s="120" t="s">
        <v>27</v>
      </c>
      <c r="D14" s="120"/>
      <c r="E14" s="120" t="s">
        <v>28</v>
      </c>
      <c r="F14" s="120"/>
      <c r="I14" s="120" t="s">
        <v>29</v>
      </c>
      <c r="L14" s="214" t="s">
        <v>31</v>
      </c>
      <c r="M14" s="214"/>
      <c r="N14" s="214"/>
      <c r="O14" s="214"/>
      <c r="P14" s="160"/>
      <c r="Q14" s="214"/>
      <c r="R14" s="160"/>
      <c r="S14" s="214"/>
      <c r="T14" s="160"/>
      <c r="U14" s="161"/>
    </row>
    <row r="15" spans="3:21" ht="12.75">
      <c r="C15" s="161"/>
      <c r="D15" s="161"/>
      <c r="E15" s="215" t="s">
        <v>312</v>
      </c>
      <c r="F15" s="215"/>
      <c r="I15" s="160"/>
      <c r="P15" s="160"/>
      <c r="R15" s="160"/>
      <c r="S15" s="120"/>
      <c r="T15" s="120"/>
      <c r="U15" s="161"/>
    </row>
    <row r="16" spans="1:21" ht="12.75">
      <c r="A16" s="6" t="s">
        <v>35</v>
      </c>
      <c r="C16" s="161"/>
      <c r="D16" s="161"/>
      <c r="E16" s="125" t="s">
        <v>313</v>
      </c>
      <c r="F16" s="125"/>
      <c r="I16" s="216" t="s">
        <v>314</v>
      </c>
      <c r="L16" s="216" t="s">
        <v>315</v>
      </c>
      <c r="M16" s="216"/>
      <c r="N16" s="216"/>
      <c r="O16" s="216"/>
      <c r="P16" s="160"/>
      <c r="R16" s="161"/>
      <c r="S16" s="217"/>
      <c r="T16" s="120"/>
      <c r="U16" s="161"/>
    </row>
    <row r="17" spans="1:21" ht="12.75">
      <c r="A17" s="6" t="s">
        <v>40</v>
      </c>
      <c r="C17" s="163"/>
      <c r="D17" s="163"/>
      <c r="E17" s="215" t="s">
        <v>316</v>
      </c>
      <c r="F17" s="160"/>
      <c r="I17" s="160"/>
      <c r="L17" s="160"/>
      <c r="M17" s="160"/>
      <c r="N17" s="160"/>
      <c r="O17" s="160"/>
      <c r="P17" s="160"/>
      <c r="Q17" s="160"/>
      <c r="R17" s="161"/>
      <c r="S17" s="160"/>
      <c r="T17" s="160"/>
      <c r="U17" s="161"/>
    </row>
    <row r="18" spans="1:21" ht="12.75">
      <c r="A18" s="218"/>
      <c r="C18" s="161"/>
      <c r="D18" s="161"/>
      <c r="E18" s="160"/>
      <c r="F18" s="160"/>
      <c r="I18" s="160"/>
      <c r="L18" s="160"/>
      <c r="M18" s="160"/>
      <c r="N18" s="160"/>
      <c r="O18" s="160"/>
      <c r="P18" s="160"/>
      <c r="Q18" s="160"/>
      <c r="R18" s="161"/>
      <c r="S18" s="160"/>
      <c r="T18" s="160"/>
      <c r="U18" s="161"/>
    </row>
    <row r="19" spans="1:21" ht="12.75">
      <c r="A19" s="219">
        <v>1</v>
      </c>
      <c r="C19" s="161" t="s">
        <v>317</v>
      </c>
      <c r="D19" s="161"/>
      <c r="E19" s="220" t="s">
        <v>318</v>
      </c>
      <c r="F19" s="219"/>
      <c r="I19" s="5">
        <f>+'Attachment H'!I64+'Attachment H'!I93</f>
        <v>0</v>
      </c>
      <c r="P19" s="160"/>
      <c r="Q19" s="160"/>
      <c r="R19" s="161"/>
      <c r="S19" s="160"/>
      <c r="T19" s="160"/>
      <c r="U19" s="161"/>
    </row>
    <row r="20" spans="1:21" ht="12.75">
      <c r="A20" s="219">
        <v>2</v>
      </c>
      <c r="C20" s="161" t="s">
        <v>319</v>
      </c>
      <c r="D20" s="161"/>
      <c r="E20" s="220" t="s">
        <v>320</v>
      </c>
      <c r="F20" s="219"/>
      <c r="I20" s="5">
        <f>+'Attachment H'!I80+'Attachment H'!I93+'Attachment H'!I95</f>
        <v>0</v>
      </c>
      <c r="P20" s="160"/>
      <c r="Q20" s="160"/>
      <c r="R20" s="161"/>
      <c r="S20" s="160"/>
      <c r="T20" s="160"/>
      <c r="U20" s="161"/>
    </row>
    <row r="21" spans="1:21" ht="12.75">
      <c r="A21" s="219"/>
      <c r="E21" s="220"/>
      <c r="F21" s="219"/>
      <c r="P21" s="160"/>
      <c r="Q21" s="160"/>
      <c r="R21" s="161"/>
      <c r="S21" s="160"/>
      <c r="T21" s="160"/>
      <c r="U21" s="161"/>
    </row>
    <row r="22" spans="1:21" ht="12.75">
      <c r="A22" s="219"/>
      <c r="C22" s="161" t="s">
        <v>321</v>
      </c>
      <c r="D22" s="161"/>
      <c r="E22" s="220"/>
      <c r="F22" s="219"/>
      <c r="I22" s="160"/>
      <c r="L22" s="160"/>
      <c r="M22" s="160"/>
      <c r="N22" s="160"/>
      <c r="O22" s="160"/>
      <c r="P22" s="160"/>
      <c r="Q22" s="160"/>
      <c r="R22" s="160"/>
      <c r="S22" s="160"/>
      <c r="T22" s="160"/>
      <c r="U22" s="161"/>
    </row>
    <row r="23" spans="1:21" ht="12.75">
      <c r="A23" s="219">
        <v>3</v>
      </c>
      <c r="C23" s="161" t="s">
        <v>322</v>
      </c>
      <c r="D23" s="161"/>
      <c r="E23" s="220" t="s">
        <v>323</v>
      </c>
      <c r="F23" s="219"/>
      <c r="I23" s="221">
        <f>+'Attachment H'!I134</f>
        <v>0</v>
      </c>
      <c r="P23" s="160"/>
      <c r="Q23" s="160"/>
      <c r="R23" s="160"/>
      <c r="S23" s="160"/>
      <c r="T23" s="160"/>
      <c r="U23" s="161"/>
    </row>
    <row r="24" spans="1:21" ht="12.75">
      <c r="A24" s="219">
        <v>4</v>
      </c>
      <c r="C24" s="161" t="s">
        <v>324</v>
      </c>
      <c r="D24" s="161"/>
      <c r="E24" s="220" t="s">
        <v>325</v>
      </c>
      <c r="F24" s="219"/>
      <c r="I24" s="25">
        <f>IF(I19=0,0,I23/I19)</f>
        <v>0</v>
      </c>
      <c r="L24" s="222">
        <f>I24</f>
        <v>0</v>
      </c>
      <c r="M24" s="223"/>
      <c r="N24" s="223"/>
      <c r="O24" s="223"/>
      <c r="P24" s="160"/>
      <c r="Q24" s="224"/>
      <c r="R24" s="225"/>
      <c r="S24" s="226"/>
      <c r="T24" s="160"/>
      <c r="U24" s="161"/>
    </row>
    <row r="25" spans="1:21" ht="12.75">
      <c r="A25" s="219"/>
      <c r="C25" s="161"/>
      <c r="D25" s="161"/>
      <c r="E25" s="220"/>
      <c r="F25" s="219"/>
      <c r="I25" s="227"/>
      <c r="L25" s="223"/>
      <c r="M25" s="223"/>
      <c r="N25" s="223"/>
      <c r="O25" s="223"/>
      <c r="P25" s="160"/>
      <c r="Q25" s="224"/>
      <c r="R25" s="225"/>
      <c r="S25" s="226"/>
      <c r="T25" s="160"/>
      <c r="U25" s="161"/>
    </row>
    <row r="26" spans="1:21" ht="12.75">
      <c r="A26" s="214"/>
      <c r="C26" s="161" t="s">
        <v>326</v>
      </c>
      <c r="D26" s="161"/>
      <c r="E26" s="118"/>
      <c r="F26" s="4"/>
      <c r="I26" s="160"/>
      <c r="L26" s="160"/>
      <c r="M26" s="160"/>
      <c r="N26" s="160"/>
      <c r="O26" s="160"/>
      <c r="P26" s="160"/>
      <c r="Q26" s="224"/>
      <c r="R26" s="225"/>
      <c r="S26" s="226"/>
      <c r="T26" s="160"/>
      <c r="U26" s="161"/>
    </row>
    <row r="27" spans="1:21" ht="12.75">
      <c r="A27" s="214" t="s">
        <v>302</v>
      </c>
      <c r="C27" s="161" t="s">
        <v>327</v>
      </c>
      <c r="D27" s="161"/>
      <c r="E27" s="220" t="s">
        <v>328</v>
      </c>
      <c r="F27" s="219"/>
      <c r="I27" s="221">
        <f>+'Attachment H'!I138+'Attachment H'!I139</f>
        <v>0</v>
      </c>
      <c r="P27" s="160"/>
      <c r="Q27" s="224"/>
      <c r="R27" s="225"/>
      <c r="S27" s="226"/>
      <c r="T27" s="160"/>
      <c r="U27" s="161"/>
    </row>
    <row r="28" spans="1:21" ht="12.75">
      <c r="A28" s="214" t="s">
        <v>329</v>
      </c>
      <c r="C28" s="161" t="s">
        <v>330</v>
      </c>
      <c r="D28" s="161"/>
      <c r="E28" s="220" t="s">
        <v>331</v>
      </c>
      <c r="F28" s="219"/>
      <c r="I28" s="25">
        <f>IF(I27=0,0,I27/I19)</f>
        <v>0</v>
      </c>
      <c r="J28" s="25"/>
      <c r="K28" s="25"/>
      <c r="L28" s="228">
        <f>I28</f>
        <v>0</v>
      </c>
      <c r="M28" s="223"/>
      <c r="N28" s="223"/>
      <c r="O28" s="223"/>
      <c r="P28" s="160"/>
      <c r="Q28" s="224"/>
      <c r="R28" s="225"/>
      <c r="S28" s="226"/>
      <c r="T28" s="160"/>
      <c r="U28" s="161"/>
    </row>
    <row r="29" spans="1:21" ht="12.75">
      <c r="A29" s="219"/>
      <c r="C29" s="161"/>
      <c r="D29" s="161"/>
      <c r="E29" s="220"/>
      <c r="F29" s="219"/>
      <c r="I29" s="25"/>
      <c r="J29" s="25"/>
      <c r="K29" s="25"/>
      <c r="L29" s="228"/>
      <c r="M29" s="223"/>
      <c r="N29" s="223"/>
      <c r="O29" s="223"/>
      <c r="P29" s="160"/>
      <c r="Q29" s="224"/>
      <c r="R29" s="225"/>
      <c r="S29" s="226"/>
      <c r="T29" s="160"/>
      <c r="U29" s="161"/>
    </row>
    <row r="30" spans="1:21" ht="12.75">
      <c r="A30" s="214"/>
      <c r="C30" s="161" t="s">
        <v>332</v>
      </c>
      <c r="D30" s="161"/>
      <c r="E30" s="118"/>
      <c r="F30" s="4"/>
      <c r="I30" s="25"/>
      <c r="J30" s="25"/>
      <c r="K30" s="25"/>
      <c r="L30" s="25"/>
      <c r="M30" s="160"/>
      <c r="N30" s="160"/>
      <c r="O30" s="160"/>
      <c r="P30" s="160"/>
      <c r="Q30" s="160"/>
      <c r="R30" s="160"/>
      <c r="S30" s="160"/>
      <c r="T30" s="160"/>
      <c r="U30" s="161"/>
    </row>
    <row r="31" spans="1:21" ht="12.75">
      <c r="A31" s="214" t="s">
        <v>333</v>
      </c>
      <c r="C31" s="161" t="s">
        <v>334</v>
      </c>
      <c r="D31" s="161"/>
      <c r="E31" s="220" t="s">
        <v>335</v>
      </c>
      <c r="F31" s="219"/>
      <c r="I31" s="25">
        <f>+'Attachment H'!I152</f>
        <v>0</v>
      </c>
      <c r="J31" s="25"/>
      <c r="K31" s="25"/>
      <c r="L31" s="25"/>
      <c r="P31" s="160"/>
      <c r="Q31" s="217"/>
      <c r="R31" s="160"/>
      <c r="S31" s="219"/>
      <c r="T31" s="120"/>
      <c r="U31" s="161"/>
    </row>
    <row r="32" spans="1:21" ht="12.75">
      <c r="A32" s="214" t="s">
        <v>336</v>
      </c>
      <c r="C32" s="161" t="s">
        <v>337</v>
      </c>
      <c r="D32" s="161"/>
      <c r="E32" s="220" t="s">
        <v>338</v>
      </c>
      <c r="F32" s="219"/>
      <c r="I32" s="25">
        <f>IF(I31=0,0,I31/I19)</f>
        <v>0</v>
      </c>
      <c r="J32" s="25"/>
      <c r="K32" s="25"/>
      <c r="L32" s="228">
        <f>I32</f>
        <v>0</v>
      </c>
      <c r="M32" s="223"/>
      <c r="N32" s="223"/>
      <c r="O32" s="223"/>
      <c r="P32" s="160"/>
      <c r="Q32" s="224"/>
      <c r="R32" s="160"/>
      <c r="S32" s="226"/>
      <c r="T32" s="120"/>
      <c r="U32" s="161"/>
    </row>
    <row r="33" spans="1:21" ht="12.75">
      <c r="A33" s="214"/>
      <c r="C33" s="161"/>
      <c r="D33" s="161"/>
      <c r="E33" s="220"/>
      <c r="F33" s="219"/>
      <c r="I33" s="160"/>
      <c r="L33" s="160"/>
      <c r="M33" s="160"/>
      <c r="N33" s="160"/>
      <c r="O33" s="160"/>
      <c r="P33" s="160"/>
      <c r="T33" s="160"/>
      <c r="U33" s="161"/>
    </row>
    <row r="34" spans="1:21" ht="12.75">
      <c r="A34" s="214" t="s">
        <v>339</v>
      </c>
      <c r="C34" s="161" t="s">
        <v>340</v>
      </c>
      <c r="D34" s="161"/>
      <c r="E34" s="220" t="s">
        <v>341</v>
      </c>
      <c r="F34" s="219"/>
      <c r="I34" s="5">
        <f>-'Attachment H'!I19</f>
        <v>0</v>
      </c>
      <c r="L34" s="160"/>
      <c r="M34" s="160"/>
      <c r="N34" s="160"/>
      <c r="O34" s="160"/>
      <c r="P34" s="160"/>
      <c r="T34" s="160"/>
      <c r="U34" s="161"/>
    </row>
    <row r="35" spans="1:21" ht="12.75">
      <c r="A35" s="214" t="s">
        <v>342</v>
      </c>
      <c r="C35" s="161" t="s">
        <v>343</v>
      </c>
      <c r="D35" s="161"/>
      <c r="E35" s="220" t="s">
        <v>344</v>
      </c>
      <c r="F35" s="219"/>
      <c r="I35" s="53">
        <f>IF(L19=0,0,I34/I19)</f>
        <v>0</v>
      </c>
      <c r="L35" s="25">
        <f>+I35</f>
        <v>0</v>
      </c>
      <c r="M35" s="160"/>
      <c r="N35" s="160"/>
      <c r="O35" s="160"/>
      <c r="P35" s="160"/>
      <c r="T35" s="160"/>
      <c r="U35" s="161"/>
    </row>
    <row r="36" spans="1:21" ht="12.75">
      <c r="A36" s="214"/>
      <c r="C36" s="161"/>
      <c r="D36" s="161"/>
      <c r="E36" s="220"/>
      <c r="F36" s="219"/>
      <c r="I36" s="160"/>
      <c r="L36" s="160"/>
      <c r="M36" s="160"/>
      <c r="N36" s="160"/>
      <c r="O36" s="160"/>
      <c r="P36" s="160"/>
      <c r="T36" s="160"/>
      <c r="U36" s="161"/>
    </row>
    <row r="37" spans="1:21" ht="12.75">
      <c r="A37" s="229" t="s">
        <v>345</v>
      </c>
      <c r="B37" s="126"/>
      <c r="C37" s="163" t="s">
        <v>184</v>
      </c>
      <c r="D37" s="163"/>
      <c r="E37" s="230" t="s">
        <v>346</v>
      </c>
      <c r="F37" s="215"/>
      <c r="I37" s="225"/>
      <c r="L37" s="231">
        <f>L24+L28+L32+L35</f>
        <v>0</v>
      </c>
      <c r="M37" s="232"/>
      <c r="N37" s="232"/>
      <c r="O37" s="232"/>
      <c r="P37" s="160"/>
      <c r="T37" s="160"/>
      <c r="U37" s="161"/>
    </row>
    <row r="38" spans="1:21" ht="12.75">
      <c r="A38" s="214"/>
      <c r="C38" s="161"/>
      <c r="D38" s="161"/>
      <c r="E38" s="220"/>
      <c r="F38" s="219"/>
      <c r="I38" s="160"/>
      <c r="L38" s="160"/>
      <c r="M38" s="160"/>
      <c r="N38" s="160"/>
      <c r="O38" s="160"/>
      <c r="P38" s="160"/>
      <c r="Q38" s="160"/>
      <c r="R38" s="160"/>
      <c r="S38" s="233"/>
      <c r="T38" s="160"/>
      <c r="U38" s="161"/>
    </row>
    <row r="39" spans="1:21" ht="12.75">
      <c r="A39" s="214"/>
      <c r="B39" s="234"/>
      <c r="C39" s="160" t="s">
        <v>347</v>
      </c>
      <c r="D39" s="160"/>
      <c r="E39" s="220"/>
      <c r="F39" s="219"/>
      <c r="I39" s="160"/>
      <c r="L39" s="160"/>
      <c r="M39" s="160"/>
      <c r="N39" s="160"/>
      <c r="O39" s="160"/>
      <c r="P39" s="235"/>
      <c r="Q39" s="234"/>
      <c r="T39" s="120"/>
      <c r="U39" s="160" t="s">
        <v>30</v>
      </c>
    </row>
    <row r="40" spans="1:21" ht="12.75">
      <c r="A40" s="214" t="s">
        <v>348</v>
      </c>
      <c r="B40" s="234"/>
      <c r="C40" s="160" t="s">
        <v>349</v>
      </c>
      <c r="D40" s="160"/>
      <c r="E40" s="220" t="s">
        <v>350</v>
      </c>
      <c r="F40" s="219"/>
      <c r="I40" s="5">
        <f>+'Attachment H'!I165</f>
        <v>-4013.9619416919199</v>
      </c>
      <c r="L40" s="160"/>
      <c r="M40" s="160"/>
      <c r="N40" s="160"/>
      <c r="O40" s="160"/>
      <c r="P40" s="235"/>
      <c r="Q40" s="234"/>
      <c r="T40" s="120"/>
      <c r="U40" s="160"/>
    </row>
    <row r="41" spans="1:21" ht="12.75">
      <c r="A41" s="214" t="s">
        <v>351</v>
      </c>
      <c r="B41" s="234"/>
      <c r="C41" s="160" t="s">
        <v>352</v>
      </c>
      <c r="D41" s="160"/>
      <c r="E41" s="220" t="s">
        <v>353</v>
      </c>
      <c r="F41" s="219"/>
      <c r="I41" s="25">
        <f>IF(I20=0,0,I40/I20)</f>
        <v>0</v>
      </c>
      <c r="L41" s="228">
        <f>I41</f>
        <v>0</v>
      </c>
      <c r="M41" s="223"/>
      <c r="N41" s="223"/>
      <c r="O41" s="223"/>
      <c r="P41" s="235"/>
      <c r="Q41" s="234"/>
      <c r="R41" s="160"/>
      <c r="S41" s="160"/>
      <c r="T41" s="120"/>
      <c r="U41" s="160"/>
    </row>
    <row r="42" spans="1:21" ht="12.75">
      <c r="A42" s="214"/>
      <c r="C42" s="160"/>
      <c r="D42" s="160"/>
      <c r="E42" s="220"/>
      <c r="F42" s="219"/>
      <c r="I42" s="160"/>
      <c r="L42" s="160"/>
      <c r="M42" s="160"/>
      <c r="N42" s="160"/>
      <c r="O42" s="160"/>
      <c r="P42" s="160"/>
      <c r="R42" s="161"/>
      <c r="S42" s="160"/>
      <c r="T42" s="161"/>
      <c r="U42" s="161"/>
    </row>
    <row r="43" spans="1:21" ht="12.75">
      <c r="A43" s="214"/>
      <c r="C43" s="161" t="s">
        <v>139</v>
      </c>
      <c r="D43" s="161"/>
      <c r="E43" s="236"/>
      <c r="F43" s="237"/>
      <c r="P43" s="160"/>
      <c r="R43" s="160"/>
      <c r="S43" s="160"/>
      <c r="T43" s="160"/>
      <c r="U43" s="161"/>
    </row>
    <row r="44" spans="1:21" ht="12.75">
      <c r="A44" s="214" t="s">
        <v>354</v>
      </c>
      <c r="C44" s="161" t="s">
        <v>355</v>
      </c>
      <c r="D44" s="161"/>
      <c r="E44" s="220" t="s">
        <v>356</v>
      </c>
      <c r="F44" s="219"/>
      <c r="I44" s="5">
        <f>+'Attachment H'!I168</f>
        <v>-28552.408965231894</v>
      </c>
      <c r="L44" s="160"/>
      <c r="M44" s="160"/>
      <c r="N44" s="160"/>
      <c r="O44" s="160"/>
      <c r="P44" s="160"/>
      <c r="R44" s="160"/>
      <c r="S44" s="160"/>
      <c r="T44" s="160"/>
      <c r="U44" s="161"/>
    </row>
    <row r="45" spans="1:21" ht="12.75">
      <c r="A45" s="214" t="s">
        <v>357</v>
      </c>
      <c r="B45" s="234"/>
      <c r="C45" s="160" t="s">
        <v>358</v>
      </c>
      <c r="D45" s="160"/>
      <c r="E45" s="220" t="s">
        <v>359</v>
      </c>
      <c r="F45" s="219"/>
      <c r="I45" s="25">
        <f>IF(I20=0,0,I44/I20)</f>
        <v>0</v>
      </c>
      <c r="L45" s="228">
        <f>I45</f>
        <v>0</v>
      </c>
      <c r="M45" s="223"/>
      <c r="N45" s="223"/>
      <c r="O45" s="223"/>
      <c r="P45" s="160"/>
      <c r="S45" s="238"/>
      <c r="T45" s="120"/>
      <c r="U45" s="160"/>
    </row>
    <row r="46" spans="1:21" ht="12.75">
      <c r="A46" s="214"/>
      <c r="C46" s="161"/>
      <c r="D46" s="161"/>
      <c r="E46" s="220"/>
      <c r="F46" s="219"/>
      <c r="I46" s="160"/>
      <c r="L46" s="160"/>
      <c r="M46" s="160"/>
      <c r="N46" s="160"/>
      <c r="O46" s="160"/>
      <c r="P46" s="160"/>
      <c r="Q46" s="237"/>
      <c r="R46" s="160"/>
      <c r="S46" s="160"/>
      <c r="T46" s="160"/>
      <c r="U46" s="161"/>
    </row>
    <row r="47" spans="1:21" ht="12.75">
      <c r="A47" s="229" t="s">
        <v>360</v>
      </c>
      <c r="B47" s="126"/>
      <c r="C47" s="163" t="s">
        <v>187</v>
      </c>
      <c r="D47" s="163"/>
      <c r="E47" s="230" t="s">
        <v>361</v>
      </c>
      <c r="F47" s="215"/>
      <c r="I47" s="25">
        <f>+I45+I41</f>
        <v>0</v>
      </c>
      <c r="L47" s="239">
        <f>L41+L45</f>
        <v>0</v>
      </c>
      <c r="M47" s="232"/>
      <c r="N47" s="232"/>
      <c r="O47" s="232"/>
      <c r="P47" s="160"/>
      <c r="Q47" s="237"/>
      <c r="R47" s="160"/>
      <c r="S47" s="160"/>
      <c r="T47" s="160"/>
      <c r="U47" s="161"/>
    </row>
    <row r="48" spans="16:21" ht="12.75">
      <c r="P48" s="240"/>
      <c r="Q48" s="240"/>
      <c r="R48" s="160"/>
      <c r="S48" s="160"/>
      <c r="T48" s="160"/>
      <c r="U48" s="161"/>
    </row>
    <row r="49" spans="16:21" ht="12.75">
      <c r="P49" s="240"/>
      <c r="Q49" s="240"/>
      <c r="R49" s="160"/>
      <c r="S49" s="160"/>
      <c r="T49" s="160"/>
      <c r="U49" s="161"/>
    </row>
    <row r="50" spans="1:21" ht="12.75">
      <c r="A50" s="241"/>
      <c r="C50" s="214"/>
      <c r="D50" s="214"/>
      <c r="E50" s="4"/>
      <c r="F50" s="4"/>
      <c r="G50" s="160"/>
      <c r="J50" s="227"/>
      <c r="P50" s="160"/>
      <c r="Q50" s="224"/>
      <c r="R50" s="210"/>
      <c r="S50" s="160"/>
      <c r="T50" s="219"/>
      <c r="U50" s="160"/>
    </row>
    <row r="51" spans="1:21" ht="12.75">
      <c r="A51" s="6"/>
      <c r="G51" s="160"/>
      <c r="P51" s="160"/>
      <c r="Q51" s="160"/>
      <c r="R51" s="160"/>
      <c r="S51" s="160"/>
      <c r="T51" s="120"/>
      <c r="U51" s="160" t="s">
        <v>30</v>
      </c>
    </row>
    <row r="52" spans="17:17" ht="12.75">
      <c r="Q52" s="209"/>
    </row>
    <row r="53" spans="17:17" ht="12.75">
      <c r="Q53" s="209"/>
    </row>
    <row r="54" spans="13:13" ht="12.75">
      <c r="M54" s="1" t="s">
        <v>362</v>
      </c>
    </row>
    <row r="55" spans="1:21" ht="12.75">
      <c r="A55" s="6"/>
      <c r="G55" s="160"/>
      <c r="P55" s="160"/>
      <c r="Q55" s="209"/>
      <c r="R55" s="160"/>
      <c r="S55" s="161"/>
      <c r="T55" s="160"/>
      <c r="U55" s="161"/>
    </row>
    <row r="56" spans="1:21" ht="12.75">
      <c r="A56" s="6"/>
      <c r="C56" s="161"/>
      <c r="D56" s="161"/>
      <c r="G56" s="4" t="str">
        <f>+G5</f>
        <v>Attachment 11</v>
      </c>
      <c r="H56" s="4"/>
      <c r="O56" s="4"/>
      <c r="P56" s="160"/>
      <c r="Q56" s="209"/>
      <c r="R56" s="160"/>
      <c r="S56" s="161"/>
      <c r="T56" s="160"/>
      <c r="U56" s="161"/>
    </row>
    <row r="57" spans="1:21" ht="12.75">
      <c r="A57" s="6"/>
      <c r="C57" s="161"/>
      <c r="D57" s="161"/>
      <c r="G57" s="4" t="str">
        <f>+G6</f>
        <v>Wholesale Distribution Service</v>
      </c>
      <c r="H57" s="4"/>
      <c r="L57" s="160"/>
      <c r="M57" s="160"/>
      <c r="N57" s="160"/>
      <c r="O57" s="4"/>
      <c r="P57" s="160"/>
      <c r="R57" s="160"/>
      <c r="S57" s="161"/>
      <c r="T57" s="160"/>
      <c r="U57" s="161"/>
    </row>
    <row r="58" spans="1:21" ht="14.25" customHeight="1">
      <c r="A58" s="6"/>
      <c r="G58" s="4" t="str">
        <f>+G7</f>
        <v>GridLiance High Plains LLC</v>
      </c>
      <c r="O58" s="4"/>
      <c r="P58" s="160"/>
      <c r="R58" s="160"/>
      <c r="S58" s="161"/>
      <c r="T58" s="160"/>
      <c r="U58" s="161"/>
    </row>
    <row r="59" spans="1:21" ht="12.75">
      <c r="A59" s="6"/>
      <c r="H59" s="4"/>
      <c r="P59" s="160"/>
      <c r="Q59" s="160"/>
      <c r="R59" s="160"/>
      <c r="S59" s="161"/>
      <c r="T59" s="160"/>
      <c r="U59" s="161"/>
    </row>
    <row r="60" spans="1:21" ht="12.75">
      <c r="A60" s="6"/>
      <c r="E60" s="161"/>
      <c r="F60" s="161"/>
      <c r="G60" s="161"/>
      <c r="H60" s="161"/>
      <c r="I60" s="161"/>
      <c r="J60" s="161"/>
      <c r="K60" s="161"/>
      <c r="L60" s="161"/>
      <c r="M60" s="161"/>
      <c r="N60" s="161"/>
      <c r="O60" s="161"/>
      <c r="P60" s="161"/>
      <c r="Q60" s="161"/>
      <c r="R60" s="160"/>
      <c r="S60" s="161"/>
      <c r="T60" s="160"/>
      <c r="U60" s="161"/>
    </row>
    <row r="61" spans="1:21" ht="12.75">
      <c r="A61" s="6"/>
      <c r="E61" s="163"/>
      <c r="F61" s="163"/>
      <c r="H61" s="161"/>
      <c r="I61" s="161"/>
      <c r="J61" s="161"/>
      <c r="K61" s="161"/>
      <c r="L61" s="161"/>
      <c r="M61" s="161"/>
      <c r="N61" s="161"/>
      <c r="O61" s="161"/>
      <c r="P61" s="160"/>
      <c r="Q61" s="160"/>
      <c r="R61" s="160"/>
      <c r="S61" s="161"/>
      <c r="T61" s="160"/>
      <c r="U61" s="161"/>
    </row>
    <row r="62" spans="1:21" ht="12.75">
      <c r="A62" s="6"/>
      <c r="E62" s="163"/>
      <c r="F62" s="163"/>
      <c r="H62" s="161"/>
      <c r="I62" s="161"/>
      <c r="J62" s="161"/>
      <c r="K62" s="161"/>
      <c r="L62" s="161"/>
      <c r="M62" s="161"/>
      <c r="N62" s="161"/>
      <c r="O62" s="161"/>
      <c r="P62" s="160"/>
      <c r="Q62" s="160"/>
      <c r="R62" s="160"/>
      <c r="S62" s="161"/>
      <c r="T62" s="160"/>
      <c r="U62" s="161"/>
    </row>
    <row r="63" spans="1:21" ht="13.5" thickBot="1">
      <c r="A63" s="6"/>
      <c r="C63" s="7">
        <v>-1</v>
      </c>
      <c r="D63" s="7">
        <v>-2</v>
      </c>
      <c r="E63" s="7">
        <v>-3</v>
      </c>
      <c r="F63" s="7">
        <v>-4</v>
      </c>
      <c r="G63" s="7">
        <v>-5</v>
      </c>
      <c r="H63" s="7">
        <v>-6</v>
      </c>
      <c r="I63" s="7">
        <v>-7</v>
      </c>
      <c r="J63" s="7">
        <v>-8</v>
      </c>
      <c r="K63" s="7">
        <v>-9</v>
      </c>
      <c r="L63" s="7">
        <v>-10</v>
      </c>
      <c r="M63" s="7">
        <v>-11</v>
      </c>
      <c r="N63" s="7"/>
      <c r="O63" s="7"/>
      <c r="P63" s="7"/>
      <c r="Q63" s="242"/>
      <c r="R63" s="242"/>
      <c r="S63" s="242"/>
      <c r="T63" s="160"/>
      <c r="U63" s="161"/>
    </row>
    <row r="64" spans="1:21" ht="53.25" customHeight="1" thickBot="1">
      <c r="A64" s="243" t="s">
        <v>1</v>
      </c>
      <c r="B64" s="244"/>
      <c r="C64" s="244" t="s">
        <v>2</v>
      </c>
      <c r="D64" s="245" t="s">
        <v>3</v>
      </c>
      <c r="E64" s="245" t="s">
        <v>363</v>
      </c>
      <c r="F64" s="245" t="s">
        <v>5</v>
      </c>
      <c r="G64" s="245" t="s">
        <v>364</v>
      </c>
      <c r="H64" s="245" t="s">
        <v>187</v>
      </c>
      <c r="I64" s="245" t="s">
        <v>8</v>
      </c>
      <c r="J64" s="245" t="s">
        <v>365</v>
      </c>
      <c r="K64" s="245" t="s">
        <v>366</v>
      </c>
      <c r="L64" s="245" t="s">
        <v>367</v>
      </c>
      <c r="M64" s="246" t="s">
        <v>12</v>
      </c>
      <c r="O64" s="15"/>
      <c r="P64" s="15"/>
      <c r="Q64" s="15"/>
      <c r="R64" s="15"/>
      <c r="S64" s="15"/>
      <c r="T64" s="160"/>
      <c r="U64" s="161"/>
    </row>
    <row r="65" spans="1:21" ht="46.5" customHeight="1">
      <c r="A65" s="247"/>
      <c r="B65" s="248"/>
      <c r="C65" s="248"/>
      <c r="D65" s="249" t="s">
        <v>368</v>
      </c>
      <c r="E65" s="249" t="s">
        <v>369</v>
      </c>
      <c r="F65" s="249" t="s">
        <v>370</v>
      </c>
      <c r="G65" s="249" t="s">
        <v>371</v>
      </c>
      <c r="H65" s="249" t="s">
        <v>372</v>
      </c>
      <c r="I65" s="249" t="s">
        <v>373</v>
      </c>
      <c r="J65" s="249" t="s">
        <v>374</v>
      </c>
      <c r="K65" s="249" t="s">
        <v>375</v>
      </c>
      <c r="L65" s="249"/>
      <c r="M65" s="250" t="s">
        <v>376</v>
      </c>
      <c r="O65" s="251"/>
      <c r="P65" s="117"/>
      <c r="Q65" s="251"/>
      <c r="R65" s="219"/>
      <c r="S65" s="251"/>
      <c r="T65" s="160"/>
      <c r="U65" s="161"/>
    </row>
    <row r="66" spans="1:21" ht="12.75">
      <c r="A66" s="252"/>
      <c r="B66" s="161"/>
      <c r="C66" s="161"/>
      <c r="D66" s="161"/>
      <c r="E66" s="161"/>
      <c r="F66" s="161"/>
      <c r="G66" s="161"/>
      <c r="H66" s="161"/>
      <c r="I66" s="161"/>
      <c r="J66" s="161"/>
      <c r="K66" s="161"/>
      <c r="L66" s="161"/>
      <c r="M66" s="253"/>
      <c r="O66" s="161"/>
      <c r="P66" s="161"/>
      <c r="Q66" s="161"/>
      <c r="R66" s="160"/>
      <c r="S66" s="160"/>
      <c r="T66" s="160"/>
      <c r="U66" s="161"/>
    </row>
    <row r="67" spans="1:19" ht="12.75">
      <c r="A67" s="254" t="s">
        <v>377</v>
      </c>
      <c r="B67" s="255"/>
      <c r="C67" s="256"/>
      <c r="D67" s="59">
        <v>0</v>
      </c>
      <c r="E67" s="25">
        <f t="shared" si="0" ref="E67:E85">$L$37</f>
        <v>0</v>
      </c>
      <c r="F67" s="25">
        <f t="shared" si="1" ref="F67:F85">D67*E67</f>
        <v>0</v>
      </c>
      <c r="G67" s="59">
        <v>0</v>
      </c>
      <c r="H67" s="25">
        <f t="shared" si="2" ref="H67:H85">$L$47</f>
        <v>0</v>
      </c>
      <c r="I67" s="5">
        <f t="shared" si="3" ref="I67:I85">G67*H67</f>
        <v>0</v>
      </c>
      <c r="J67" s="59">
        <v>0</v>
      </c>
      <c r="K67" s="5">
        <f t="shared" si="4" ref="K67:K85">F67+I67+J67</f>
        <v>0</v>
      </c>
      <c r="L67" s="257">
        <v>0</v>
      </c>
      <c r="M67" s="27">
        <f>+K67*L67</f>
        <v>0</v>
      </c>
      <c r="O67" s="25"/>
      <c r="P67" s="25"/>
      <c r="Q67" s="25"/>
      <c r="R67" s="25"/>
      <c r="S67" s="25"/>
    </row>
    <row r="68" spans="1:19" ht="12.75">
      <c r="A68" s="254" t="s">
        <v>378</v>
      </c>
      <c r="B68" s="255"/>
      <c r="C68" s="256"/>
      <c r="D68" s="257">
        <v>0</v>
      </c>
      <c r="E68" s="25">
        <f t="shared" si="0"/>
        <v>0</v>
      </c>
      <c r="F68" s="25">
        <f t="shared" si="1"/>
        <v>0</v>
      </c>
      <c r="G68" s="257">
        <v>0</v>
      </c>
      <c r="H68" s="25">
        <f t="shared" si="2"/>
        <v>0</v>
      </c>
      <c r="I68" s="25">
        <f t="shared" si="3"/>
        <v>0</v>
      </c>
      <c r="J68" s="59">
        <v>0</v>
      </c>
      <c r="K68" s="25">
        <f t="shared" si="4"/>
        <v>0</v>
      </c>
      <c r="L68" s="257">
        <v>0</v>
      </c>
      <c r="M68" s="258">
        <f t="shared" si="5" ref="M68:M85">+K68*L68</f>
        <v>0</v>
      </c>
      <c r="O68" s="25"/>
      <c r="P68" s="25"/>
      <c r="Q68" s="25"/>
      <c r="R68" s="25"/>
      <c r="S68" s="25"/>
    </row>
    <row r="69" spans="1:19" ht="24" customHeight="1">
      <c r="A69" s="254" t="s">
        <v>379</v>
      </c>
      <c r="B69" s="255"/>
      <c r="C69" s="256"/>
      <c r="D69" s="257">
        <v>0</v>
      </c>
      <c r="E69" s="25">
        <f t="shared" si="0"/>
        <v>0</v>
      </c>
      <c r="F69" s="25">
        <f t="shared" si="1"/>
        <v>0</v>
      </c>
      <c r="G69" s="257">
        <v>0</v>
      </c>
      <c r="H69" s="25">
        <f t="shared" si="2"/>
        <v>0</v>
      </c>
      <c r="I69" s="25">
        <f t="shared" si="3"/>
        <v>0</v>
      </c>
      <c r="J69" s="59">
        <v>0</v>
      </c>
      <c r="K69" s="25">
        <f t="shared" si="4"/>
        <v>0</v>
      </c>
      <c r="L69" s="257">
        <v>0</v>
      </c>
      <c r="M69" s="258">
        <f t="shared" si="5"/>
        <v>0</v>
      </c>
      <c r="O69" s="25"/>
      <c r="P69" s="25"/>
      <c r="Q69" s="25"/>
      <c r="R69" s="25"/>
      <c r="S69" s="25"/>
    </row>
    <row r="70" spans="1:19" ht="12.75">
      <c r="A70" s="254" t="s">
        <v>18</v>
      </c>
      <c r="B70" s="255"/>
      <c r="C70" s="256"/>
      <c r="D70" s="257">
        <v>0</v>
      </c>
      <c r="E70" s="25">
        <f t="shared" si="0"/>
        <v>0</v>
      </c>
      <c r="F70" s="25">
        <f t="shared" si="1"/>
        <v>0</v>
      </c>
      <c r="G70" s="257">
        <v>0</v>
      </c>
      <c r="H70" s="25">
        <f t="shared" si="2"/>
        <v>0</v>
      </c>
      <c r="I70" s="25">
        <f t="shared" si="3"/>
        <v>0</v>
      </c>
      <c r="J70" s="59">
        <v>0</v>
      </c>
      <c r="K70" s="25">
        <f t="shared" si="4"/>
        <v>0</v>
      </c>
      <c r="L70" s="257">
        <v>0</v>
      </c>
      <c r="M70" s="258">
        <f t="shared" si="5"/>
        <v>0</v>
      </c>
      <c r="O70" s="25"/>
      <c r="P70" s="25"/>
      <c r="Q70" s="25"/>
      <c r="R70" s="25"/>
      <c r="S70" s="25"/>
    </row>
    <row r="71" spans="1:19" ht="12.75">
      <c r="A71" s="254" t="s">
        <v>18</v>
      </c>
      <c r="B71" s="255"/>
      <c r="C71" s="256"/>
      <c r="D71" s="257">
        <v>0</v>
      </c>
      <c r="E71" s="25">
        <f t="shared" si="0"/>
        <v>0</v>
      </c>
      <c r="F71" s="25">
        <f t="shared" si="1"/>
        <v>0</v>
      </c>
      <c r="G71" s="257">
        <v>0</v>
      </c>
      <c r="H71" s="25">
        <f t="shared" si="2"/>
        <v>0</v>
      </c>
      <c r="I71" s="25">
        <f t="shared" si="3"/>
        <v>0</v>
      </c>
      <c r="J71" s="59">
        <v>0</v>
      </c>
      <c r="K71" s="25">
        <f t="shared" si="4"/>
        <v>0</v>
      </c>
      <c r="L71" s="257">
        <v>0</v>
      </c>
      <c r="M71" s="258">
        <f t="shared" si="5"/>
        <v>0</v>
      </c>
      <c r="O71" s="25"/>
      <c r="P71" s="25"/>
      <c r="Q71" s="25"/>
      <c r="R71" s="25"/>
      <c r="S71" s="25"/>
    </row>
    <row r="72" spans="1:19" ht="12.75">
      <c r="A72" s="254" t="s">
        <v>18</v>
      </c>
      <c r="B72" s="255"/>
      <c r="C72" s="256"/>
      <c r="D72" s="257">
        <v>0</v>
      </c>
      <c r="E72" s="25">
        <f t="shared" si="0"/>
        <v>0</v>
      </c>
      <c r="F72" s="25">
        <f t="shared" si="1"/>
        <v>0</v>
      </c>
      <c r="G72" s="257">
        <v>0</v>
      </c>
      <c r="H72" s="25">
        <f t="shared" si="2"/>
        <v>0</v>
      </c>
      <c r="I72" s="25">
        <f t="shared" si="3"/>
        <v>0</v>
      </c>
      <c r="J72" s="59">
        <v>0</v>
      </c>
      <c r="K72" s="25">
        <f t="shared" si="4"/>
        <v>0</v>
      </c>
      <c r="L72" s="257">
        <v>0</v>
      </c>
      <c r="M72" s="258">
        <f t="shared" si="5"/>
        <v>0</v>
      </c>
      <c r="O72" s="25"/>
      <c r="P72" s="25"/>
      <c r="Q72" s="25"/>
      <c r="R72" s="25"/>
      <c r="S72" s="25"/>
    </row>
    <row r="73" spans="1:19" ht="12.75">
      <c r="A73" s="254" t="s">
        <v>18</v>
      </c>
      <c r="B73" s="255"/>
      <c r="C73" s="256"/>
      <c r="D73" s="257">
        <v>0</v>
      </c>
      <c r="E73" s="25">
        <f t="shared" si="0"/>
        <v>0</v>
      </c>
      <c r="F73" s="25">
        <f t="shared" si="1"/>
        <v>0</v>
      </c>
      <c r="G73" s="257">
        <v>0</v>
      </c>
      <c r="H73" s="25">
        <f t="shared" si="2"/>
        <v>0</v>
      </c>
      <c r="I73" s="25">
        <f t="shared" si="3"/>
        <v>0</v>
      </c>
      <c r="J73" s="59">
        <v>0</v>
      </c>
      <c r="K73" s="25">
        <f t="shared" si="4"/>
        <v>0</v>
      </c>
      <c r="L73" s="257">
        <v>0</v>
      </c>
      <c r="M73" s="258">
        <f t="shared" si="5"/>
        <v>0</v>
      </c>
      <c r="O73" s="25"/>
      <c r="P73" s="25"/>
      <c r="Q73" s="25"/>
      <c r="R73" s="25"/>
      <c r="S73" s="25"/>
    </row>
    <row r="74" spans="1:19" ht="12.75">
      <c r="A74" s="254" t="s">
        <v>18</v>
      </c>
      <c r="B74" s="255"/>
      <c r="C74" s="256"/>
      <c r="D74" s="257">
        <v>0</v>
      </c>
      <c r="E74" s="25">
        <f t="shared" si="0"/>
        <v>0</v>
      </c>
      <c r="F74" s="25">
        <f t="shared" si="1"/>
        <v>0</v>
      </c>
      <c r="G74" s="257">
        <v>0</v>
      </c>
      <c r="H74" s="25">
        <f t="shared" si="2"/>
        <v>0</v>
      </c>
      <c r="I74" s="25">
        <f t="shared" si="3"/>
        <v>0</v>
      </c>
      <c r="J74" s="59">
        <v>0</v>
      </c>
      <c r="K74" s="25">
        <f t="shared" si="4"/>
        <v>0</v>
      </c>
      <c r="L74" s="257">
        <v>0</v>
      </c>
      <c r="M74" s="258">
        <f t="shared" si="5"/>
        <v>0</v>
      </c>
      <c r="O74" s="25"/>
      <c r="P74" s="25"/>
      <c r="Q74" s="25"/>
      <c r="R74" s="25"/>
      <c r="S74" s="25"/>
    </row>
    <row r="75" spans="1:19" ht="12.75">
      <c r="A75" s="254" t="s">
        <v>18</v>
      </c>
      <c r="B75" s="255"/>
      <c r="C75" s="256"/>
      <c r="D75" s="257">
        <v>0</v>
      </c>
      <c r="E75" s="25">
        <f t="shared" si="0"/>
        <v>0</v>
      </c>
      <c r="F75" s="25">
        <f t="shared" si="1"/>
        <v>0</v>
      </c>
      <c r="G75" s="257">
        <v>0</v>
      </c>
      <c r="H75" s="25">
        <f t="shared" si="2"/>
        <v>0</v>
      </c>
      <c r="I75" s="25">
        <f t="shared" si="3"/>
        <v>0</v>
      </c>
      <c r="J75" s="59">
        <v>0</v>
      </c>
      <c r="K75" s="25">
        <f t="shared" si="4"/>
        <v>0</v>
      </c>
      <c r="L75" s="257">
        <v>0</v>
      </c>
      <c r="M75" s="258">
        <f t="shared" si="5"/>
        <v>0</v>
      </c>
      <c r="O75" s="25"/>
      <c r="P75" s="25"/>
      <c r="Q75" s="25"/>
      <c r="R75" s="25"/>
      <c r="S75" s="25"/>
    </row>
    <row r="76" spans="1:19" ht="12.75">
      <c r="A76" s="254" t="s">
        <v>18</v>
      </c>
      <c r="B76" s="255"/>
      <c r="C76" s="256"/>
      <c r="D76" s="257">
        <v>0</v>
      </c>
      <c r="E76" s="25">
        <f t="shared" si="0"/>
        <v>0</v>
      </c>
      <c r="F76" s="25">
        <f t="shared" si="1"/>
        <v>0</v>
      </c>
      <c r="G76" s="257">
        <v>0</v>
      </c>
      <c r="H76" s="25">
        <f t="shared" si="2"/>
        <v>0</v>
      </c>
      <c r="I76" s="25">
        <f t="shared" si="3"/>
        <v>0</v>
      </c>
      <c r="J76" s="59">
        <v>0</v>
      </c>
      <c r="K76" s="25">
        <f t="shared" si="4"/>
        <v>0</v>
      </c>
      <c r="L76" s="257">
        <v>0</v>
      </c>
      <c r="M76" s="258">
        <f t="shared" si="5"/>
        <v>0</v>
      </c>
      <c r="O76" s="25"/>
      <c r="P76" s="25"/>
      <c r="Q76" s="25"/>
      <c r="R76" s="25"/>
      <c r="S76" s="25"/>
    </row>
    <row r="77" spans="1:19" ht="12.75">
      <c r="A77" s="254" t="s">
        <v>18</v>
      </c>
      <c r="B77" s="255"/>
      <c r="C77" s="256"/>
      <c r="D77" s="257">
        <v>0</v>
      </c>
      <c r="E77" s="25">
        <f t="shared" si="0"/>
        <v>0</v>
      </c>
      <c r="F77" s="25">
        <f t="shared" si="1"/>
        <v>0</v>
      </c>
      <c r="G77" s="257">
        <v>0</v>
      </c>
      <c r="H77" s="25">
        <f t="shared" si="2"/>
        <v>0</v>
      </c>
      <c r="I77" s="25">
        <f t="shared" si="3"/>
        <v>0</v>
      </c>
      <c r="J77" s="59">
        <v>0</v>
      </c>
      <c r="K77" s="25">
        <f t="shared" si="4"/>
        <v>0</v>
      </c>
      <c r="L77" s="257">
        <v>0</v>
      </c>
      <c r="M77" s="258">
        <f t="shared" si="5"/>
        <v>0</v>
      </c>
      <c r="O77" s="25"/>
      <c r="P77" s="25"/>
      <c r="Q77" s="25"/>
      <c r="R77" s="25"/>
      <c r="S77" s="25"/>
    </row>
    <row r="78" spans="1:19" ht="12.75">
      <c r="A78" s="254" t="s">
        <v>18</v>
      </c>
      <c r="B78" s="255"/>
      <c r="C78" s="256"/>
      <c r="D78" s="257">
        <v>0</v>
      </c>
      <c r="E78" s="25">
        <f t="shared" si="0"/>
        <v>0</v>
      </c>
      <c r="F78" s="25">
        <f t="shared" si="1"/>
        <v>0</v>
      </c>
      <c r="G78" s="257">
        <v>0</v>
      </c>
      <c r="H78" s="25">
        <f t="shared" si="2"/>
        <v>0</v>
      </c>
      <c r="I78" s="25">
        <f t="shared" si="3"/>
        <v>0</v>
      </c>
      <c r="J78" s="59">
        <v>0</v>
      </c>
      <c r="K78" s="25">
        <f t="shared" si="4"/>
        <v>0</v>
      </c>
      <c r="L78" s="257">
        <v>0</v>
      </c>
      <c r="M78" s="258">
        <f t="shared" si="5"/>
        <v>0</v>
      </c>
      <c r="O78" s="25"/>
      <c r="P78" s="25"/>
      <c r="Q78" s="25"/>
      <c r="R78" s="25"/>
      <c r="S78" s="25"/>
    </row>
    <row r="79" spans="1:19" ht="12.75">
      <c r="A79" s="254" t="s">
        <v>18</v>
      </c>
      <c r="B79" s="255"/>
      <c r="C79" s="256"/>
      <c r="D79" s="257">
        <v>0</v>
      </c>
      <c r="E79" s="25">
        <f t="shared" si="0"/>
        <v>0</v>
      </c>
      <c r="F79" s="25">
        <f t="shared" si="1"/>
        <v>0</v>
      </c>
      <c r="G79" s="257">
        <v>0</v>
      </c>
      <c r="H79" s="25">
        <f t="shared" si="2"/>
        <v>0</v>
      </c>
      <c r="I79" s="25">
        <f t="shared" si="3"/>
        <v>0</v>
      </c>
      <c r="J79" s="59">
        <v>0</v>
      </c>
      <c r="K79" s="25">
        <f t="shared" si="4"/>
        <v>0</v>
      </c>
      <c r="L79" s="257">
        <v>0</v>
      </c>
      <c r="M79" s="258">
        <f t="shared" si="5"/>
        <v>0</v>
      </c>
      <c r="O79" s="25"/>
      <c r="P79" s="25"/>
      <c r="Q79" s="25"/>
      <c r="R79" s="25"/>
      <c r="S79" s="25"/>
    </row>
    <row r="80" spans="1:19" ht="12.75">
      <c r="A80" s="254" t="s">
        <v>18</v>
      </c>
      <c r="B80" s="255"/>
      <c r="C80" s="256"/>
      <c r="D80" s="257">
        <v>0</v>
      </c>
      <c r="E80" s="25">
        <f t="shared" si="0"/>
        <v>0</v>
      </c>
      <c r="F80" s="25">
        <f t="shared" si="1"/>
        <v>0</v>
      </c>
      <c r="G80" s="257">
        <v>0</v>
      </c>
      <c r="H80" s="25">
        <f t="shared" si="2"/>
        <v>0</v>
      </c>
      <c r="I80" s="25">
        <f t="shared" si="3"/>
        <v>0</v>
      </c>
      <c r="J80" s="59">
        <v>0</v>
      </c>
      <c r="K80" s="25">
        <f t="shared" si="4"/>
        <v>0</v>
      </c>
      <c r="L80" s="257">
        <v>0</v>
      </c>
      <c r="M80" s="258">
        <f t="shared" si="5"/>
        <v>0</v>
      </c>
      <c r="O80" s="25"/>
      <c r="P80" s="25"/>
      <c r="Q80" s="25"/>
      <c r="R80" s="25"/>
      <c r="S80" s="25"/>
    </row>
    <row r="81" spans="1:19" ht="12.75">
      <c r="A81" s="254" t="s">
        <v>18</v>
      </c>
      <c r="B81" s="255"/>
      <c r="C81" s="256"/>
      <c r="D81" s="257">
        <v>0</v>
      </c>
      <c r="E81" s="25">
        <f t="shared" si="0"/>
        <v>0</v>
      </c>
      <c r="F81" s="25">
        <f t="shared" si="1"/>
        <v>0</v>
      </c>
      <c r="G81" s="257">
        <v>0</v>
      </c>
      <c r="H81" s="25">
        <f t="shared" si="2"/>
        <v>0</v>
      </c>
      <c r="I81" s="25">
        <f t="shared" si="3"/>
        <v>0</v>
      </c>
      <c r="J81" s="59">
        <v>0</v>
      </c>
      <c r="K81" s="25">
        <f t="shared" si="4"/>
        <v>0</v>
      </c>
      <c r="L81" s="257">
        <v>0</v>
      </c>
      <c r="M81" s="258">
        <f t="shared" si="5"/>
        <v>0</v>
      </c>
      <c r="O81" s="25"/>
      <c r="P81" s="25"/>
      <c r="Q81" s="25"/>
      <c r="R81" s="25"/>
      <c r="S81" s="25"/>
    </row>
    <row r="82" spans="1:19" ht="12.75">
      <c r="A82" s="254" t="s">
        <v>18</v>
      </c>
      <c r="C82" s="259"/>
      <c r="D82" s="257">
        <v>0</v>
      </c>
      <c r="E82" s="25">
        <f t="shared" si="0"/>
        <v>0</v>
      </c>
      <c r="F82" s="25">
        <f t="shared" si="1"/>
        <v>0</v>
      </c>
      <c r="G82" s="257">
        <v>0</v>
      </c>
      <c r="H82" s="25">
        <f t="shared" si="2"/>
        <v>0</v>
      </c>
      <c r="I82" s="25">
        <f t="shared" si="3"/>
        <v>0</v>
      </c>
      <c r="J82" s="59">
        <v>0</v>
      </c>
      <c r="K82" s="25">
        <f t="shared" si="4"/>
        <v>0</v>
      </c>
      <c r="L82" s="257">
        <v>0</v>
      </c>
      <c r="M82" s="258">
        <f t="shared" si="5"/>
        <v>0</v>
      </c>
      <c r="O82" s="25"/>
      <c r="P82" s="25"/>
      <c r="Q82" s="25"/>
      <c r="R82" s="25"/>
      <c r="S82" s="25"/>
    </row>
    <row r="83" spans="1:19" ht="12.75">
      <c r="A83" s="254" t="s">
        <v>18</v>
      </c>
      <c r="C83" s="259"/>
      <c r="D83" s="257">
        <v>0</v>
      </c>
      <c r="E83" s="25">
        <f t="shared" si="0"/>
        <v>0</v>
      </c>
      <c r="F83" s="25">
        <f t="shared" si="1"/>
        <v>0</v>
      </c>
      <c r="G83" s="257">
        <v>0</v>
      </c>
      <c r="H83" s="25">
        <f t="shared" si="2"/>
        <v>0</v>
      </c>
      <c r="I83" s="25">
        <f t="shared" si="3"/>
        <v>0</v>
      </c>
      <c r="J83" s="59">
        <v>0</v>
      </c>
      <c r="K83" s="25">
        <f t="shared" si="4"/>
        <v>0</v>
      </c>
      <c r="L83" s="257">
        <v>0</v>
      </c>
      <c r="M83" s="258">
        <f t="shared" si="5"/>
        <v>0</v>
      </c>
      <c r="O83" s="25"/>
      <c r="P83" s="25"/>
      <c r="Q83" s="25"/>
      <c r="R83" s="25"/>
      <c r="S83" s="25"/>
    </row>
    <row r="84" spans="1:19" ht="12.75">
      <c r="A84" s="254" t="s">
        <v>18</v>
      </c>
      <c r="C84" s="259"/>
      <c r="D84" s="257">
        <v>0</v>
      </c>
      <c r="E84" s="25">
        <f t="shared" si="0"/>
        <v>0</v>
      </c>
      <c r="F84" s="25">
        <f t="shared" si="1"/>
        <v>0</v>
      </c>
      <c r="G84" s="257">
        <v>0</v>
      </c>
      <c r="H84" s="25">
        <f t="shared" si="2"/>
        <v>0</v>
      </c>
      <c r="I84" s="25">
        <f t="shared" si="3"/>
        <v>0</v>
      </c>
      <c r="J84" s="59">
        <v>0</v>
      </c>
      <c r="K84" s="25">
        <f t="shared" si="4"/>
        <v>0</v>
      </c>
      <c r="L84" s="257">
        <v>0</v>
      </c>
      <c r="M84" s="258">
        <f t="shared" si="5"/>
        <v>0</v>
      </c>
      <c r="O84" s="25"/>
      <c r="P84" s="25"/>
      <c r="Q84" s="25"/>
      <c r="R84" s="25"/>
      <c r="S84" s="25"/>
    </row>
    <row r="85" spans="1:19" ht="12.75">
      <c r="A85" s="254" t="s">
        <v>18</v>
      </c>
      <c r="C85" s="259"/>
      <c r="D85" s="257">
        <v>0</v>
      </c>
      <c r="E85" s="25">
        <f t="shared" si="0"/>
        <v>0</v>
      </c>
      <c r="F85" s="25">
        <f t="shared" si="1"/>
        <v>0</v>
      </c>
      <c r="G85" s="257">
        <v>0</v>
      </c>
      <c r="H85" s="25">
        <f t="shared" si="2"/>
        <v>0</v>
      </c>
      <c r="I85" s="25">
        <f t="shared" si="3"/>
        <v>0</v>
      </c>
      <c r="J85" s="59">
        <v>0</v>
      </c>
      <c r="K85" s="25">
        <f t="shared" si="4"/>
        <v>0</v>
      </c>
      <c r="L85" s="257">
        <v>0</v>
      </c>
      <c r="M85" s="258">
        <f t="shared" si="5"/>
        <v>0</v>
      </c>
      <c r="O85" s="25"/>
      <c r="P85" s="25"/>
      <c r="Q85" s="25"/>
      <c r="R85" s="25"/>
      <c r="S85" s="25"/>
    </row>
    <row r="86" spans="1:19" ht="13.5" thickBot="1">
      <c r="A86" s="260"/>
      <c r="B86" s="30"/>
      <c r="C86" s="30"/>
      <c r="D86" s="30"/>
      <c r="E86" s="30"/>
      <c r="F86" s="30"/>
      <c r="G86" s="30"/>
      <c r="H86" s="30"/>
      <c r="I86" s="30"/>
      <c r="J86" s="30"/>
      <c r="K86" s="32"/>
      <c r="L86" s="261"/>
      <c r="M86" s="262"/>
      <c r="O86" s="263"/>
      <c r="P86" s="263"/>
      <c r="Q86" s="263"/>
      <c r="S86" s="5"/>
    </row>
    <row r="87" spans="1:19" ht="12.75">
      <c r="A87" s="214" t="s">
        <v>360</v>
      </c>
      <c r="B87" s="234"/>
      <c r="C87" s="161" t="s">
        <v>380</v>
      </c>
      <c r="D87" s="161"/>
      <c r="E87" s="114"/>
      <c r="F87" s="4"/>
      <c r="G87" s="160"/>
      <c r="H87" s="114"/>
      <c r="I87" s="160"/>
      <c r="J87" s="160"/>
      <c r="K87" s="160"/>
      <c r="L87" s="25"/>
      <c r="M87" s="221">
        <f>SUM(M67:M86)</f>
        <v>0</v>
      </c>
      <c r="N87" s="5"/>
      <c r="O87" s="5"/>
      <c r="P87" s="5"/>
      <c r="Q87" s="5"/>
      <c r="R87" s="5"/>
      <c r="S87" s="5"/>
    </row>
    <row r="88" spans="1:1" ht="12.75">
      <c r="A88" s="1" t="s">
        <v>381</v>
      </c>
    </row>
    <row r="89" spans="1:1" ht="13.5" thickBot="1">
      <c r="A89" s="30" t="s">
        <v>382</v>
      </c>
    </row>
    <row r="90" spans="1:17" ht="12.75">
      <c r="A90" s="208" t="s">
        <v>236</v>
      </c>
      <c r="C90" s="1040" t="s">
        <v>383</v>
      </c>
      <c r="D90" s="1040"/>
      <c r="E90" s="1040"/>
      <c r="F90" s="1040"/>
      <c r="G90" s="1040"/>
      <c r="H90" s="1040"/>
      <c r="I90" s="1040"/>
      <c r="J90" s="1040"/>
      <c r="K90" s="1040"/>
      <c r="L90" s="1040"/>
      <c r="M90" s="1040"/>
      <c r="N90" s="1040"/>
      <c r="O90" s="1040"/>
      <c r="P90" s="1040"/>
      <c r="Q90" s="1040"/>
    </row>
    <row r="91" spans="1:17" ht="12.75">
      <c r="A91" s="208" t="s">
        <v>238</v>
      </c>
      <c r="C91" s="1040" t="s">
        <v>384</v>
      </c>
      <c r="D91" s="1040"/>
      <c r="E91" s="1040"/>
      <c r="F91" s="1040"/>
      <c r="G91" s="1040"/>
      <c r="H91" s="1040"/>
      <c r="I91" s="1040"/>
      <c r="J91" s="1040"/>
      <c r="K91" s="1040"/>
      <c r="L91" s="1040"/>
      <c r="M91" s="1040"/>
      <c r="N91" s="1040"/>
      <c r="O91" s="1040"/>
      <c r="P91" s="1040"/>
      <c r="Q91" s="1040"/>
    </row>
    <row r="92" spans="1:17" ht="12.75">
      <c r="A92" s="208" t="s">
        <v>251</v>
      </c>
      <c r="C92" s="1026" t="s">
        <v>385</v>
      </c>
      <c r="D92" s="1026"/>
      <c r="E92" s="1026"/>
      <c r="F92" s="1026"/>
      <c r="G92" s="1026"/>
      <c r="H92" s="1026"/>
      <c r="I92" s="1026"/>
      <c r="J92" s="1026"/>
      <c r="K92" s="1026"/>
      <c r="L92" s="1026"/>
      <c r="M92" s="1026"/>
      <c r="N92" s="1026"/>
      <c r="O92" s="1026"/>
      <c r="P92" s="1026"/>
      <c r="Q92" s="1026"/>
    </row>
    <row r="93" spans="3:3" ht="12.75">
      <c r="C93" s="1" t="s">
        <v>386</v>
      </c>
    </row>
    <row r="94" spans="1:17" ht="12.75">
      <c r="A94" s="208" t="s">
        <v>252</v>
      </c>
      <c r="C94" s="1026" t="s">
        <v>387</v>
      </c>
      <c r="D94" s="1026"/>
      <c r="E94" s="1026"/>
      <c r="F94" s="1026"/>
      <c r="G94" s="1026"/>
      <c r="H94" s="1026"/>
      <c r="I94" s="1026"/>
      <c r="J94" s="1026"/>
      <c r="K94" s="1026"/>
      <c r="L94" s="1026"/>
      <c r="M94" s="1026"/>
      <c r="N94" s="1026"/>
      <c r="O94" s="1026"/>
      <c r="P94" s="1026"/>
      <c r="Q94" s="1026"/>
    </row>
    <row r="95" spans="1:17" ht="12.75">
      <c r="A95" s="4" t="s">
        <v>253</v>
      </c>
      <c r="C95" s="1038" t="s">
        <v>388</v>
      </c>
      <c r="D95" s="1038"/>
      <c r="E95" s="1038"/>
      <c r="F95" s="1038"/>
      <c r="G95" s="1038"/>
      <c r="H95" s="1038"/>
      <c r="I95" s="1038"/>
      <c r="J95" s="1038"/>
      <c r="K95" s="1038"/>
      <c r="L95" s="1038"/>
      <c r="M95" s="1038"/>
      <c r="N95" s="1038"/>
      <c r="O95" s="1038"/>
      <c r="P95" s="1038"/>
      <c r="Q95" s="1038"/>
    </row>
    <row r="96" spans="1:17" ht="12.75">
      <c r="A96" s="4" t="s">
        <v>254</v>
      </c>
      <c r="C96" s="1038" t="s">
        <v>389</v>
      </c>
      <c r="D96" s="1038"/>
      <c r="E96" s="1038"/>
      <c r="F96" s="1038"/>
      <c r="G96" s="1038"/>
      <c r="H96" s="1038"/>
      <c r="I96" s="1038"/>
      <c r="J96" s="1038"/>
      <c r="K96" s="1038"/>
      <c r="L96" s="1038"/>
      <c r="M96" s="1038"/>
      <c r="N96" s="1038"/>
      <c r="O96" s="1038"/>
      <c r="P96" s="1038"/>
      <c r="Q96" s="1038"/>
    </row>
    <row r="97" spans="1:3" ht="12.75">
      <c r="A97" s="4" t="s">
        <v>255</v>
      </c>
      <c r="C97" s="1" t="s">
        <v>390</v>
      </c>
    </row>
    <row r="98" spans="1:17" ht="12.75">
      <c r="A98" s="214" t="s">
        <v>256</v>
      </c>
      <c r="C98" s="241" t="s">
        <v>391</v>
      </c>
      <c r="D98" s="214"/>
      <c r="E98" s="4"/>
      <c r="F98" s="4"/>
      <c r="G98" s="160"/>
      <c r="J98" s="227"/>
      <c r="P98" s="160"/>
      <c r="Q98" s="210"/>
    </row>
    <row r="99" spans="1:17" ht="12.75">
      <c r="A99" s="214" t="s">
        <v>257</v>
      </c>
      <c r="C99" s="1" t="s">
        <v>392</v>
      </c>
      <c r="D99" s="214"/>
      <c r="E99" s="4"/>
      <c r="F99" s="4"/>
      <c r="G99" s="160"/>
      <c r="J99" s="227"/>
      <c r="P99" s="160"/>
      <c r="Q99" s="224"/>
    </row>
    <row r="100" spans="1:1" ht="12.75">
      <c r="A100" s="4"/>
    </row>
    <row r="101" spans="1:1" ht="12.75">
      <c r="A101" s="4"/>
    </row>
    <row r="282" spans="1:11" ht="12.75">
      <c r="A282" s="43"/>
      <c r="B282" s="264"/>
      <c r="C282" s="43"/>
      <c r="D282" s="38"/>
      <c r="E282" s="38"/>
      <c r="F282" s="38"/>
      <c r="G282" s="38"/>
      <c r="H282" s="52"/>
      <c r="I282" s="265"/>
      <c r="J282" s="38"/>
      <c r="K282" s="38"/>
    </row>
  </sheetData>
  <mergeCells count="7">
    <mergeCell ref="C96:Q96"/>
    <mergeCell ref="C12:Q12"/>
    <mergeCell ref="C90:Q90"/>
    <mergeCell ref="C91:Q91"/>
    <mergeCell ref="C92:Q92"/>
    <mergeCell ref="C94:Q94"/>
    <mergeCell ref="C95:Q95"/>
  </mergeCells>
  <pageMargins left="0.25" right="0.25" top="0.75" bottom="0.75" header="0.3" footer="0.3"/>
  <pageSetup fitToHeight="2" fitToWidth="2" horizontalDpi="300" verticalDpi="300" orientation="landscape" scale="53" r:id="rId1"/>
  <rowBreaks count="3" manualBreakCount="3">
    <brk id="51" max="12" man="1"/>
    <brk id="100" max="18" man="1"/>
    <brk id="102" max="18"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3FDC-5C6D-4E78-87D7-CB387FFCA5BC}">
  <sheetPr>
    <tabColor rgb="FF00B050"/>
  </sheetPr>
  <dimension ref="A1:AD209"/>
  <sheetViews>
    <sheetView view="pageBreakPreview" zoomScale="80" zoomScaleNormal="65" zoomScaleSheetLayoutView="80" workbookViewId="0" topLeftCell="A1">
      <pane xSplit="4" ySplit="6" topLeftCell="E7" activePane="bottomRight" state="frozen"/>
      <selection pane="topLeft" activeCell="G24" sqref="G24"/>
      <selection pane="bottomLeft" activeCell="G24" sqref="G24"/>
      <selection pane="topRight" activeCell="G24" sqref="G24"/>
      <selection pane="bottomRight" activeCell="E7" sqref="E7"/>
    </sheetView>
  </sheetViews>
  <sheetFormatPr defaultRowHeight="16.2"/>
  <cols>
    <col min="1" max="1" width="9.11111111111111" style="2"/>
    <col min="2" max="2" width="2.33333333333333" style="2" customWidth="1"/>
    <col min="3" max="3" width="48.4444444444444" style="2" customWidth="1"/>
    <col min="4" max="4" width="38.4444444444444" style="2" customWidth="1"/>
    <col min="5" max="5" width="16.6666666666667" style="2" customWidth="1"/>
    <col min="6" max="6" width="8.11111111111111" style="2" customWidth="1"/>
    <col min="7" max="7" width="15.3333333333333" style="2" customWidth="1"/>
    <col min="8" max="8" width="15" style="2" customWidth="1"/>
    <col min="9" max="9" width="2.66666666666667" style="2" customWidth="1"/>
    <col min="10" max="10" width="15" style="2" customWidth="1"/>
    <col min="11" max="11" width="14" style="2" customWidth="1"/>
    <col min="12" max="12" width="13.8888888888889" style="2" customWidth="1"/>
    <col min="13" max="13" width="12.3333333333333" style="2" customWidth="1"/>
    <col min="14" max="14" width="9.11111111111111" style="2"/>
    <col min="15" max="15" width="15.3333333333333" style="2" customWidth="1"/>
    <col min="16" max="16" width="6.55555555555556" style="2" customWidth="1"/>
    <col min="17" max="17" width="5.88888888888889" style="2" customWidth="1"/>
    <col min="18" max="30" width="9.88888888888889" customWidth="1"/>
    <col min="31" max="16384" width="9.11111111111111" style="2"/>
  </cols>
  <sheetData>
    <row r="1" spans="1:12" ht="15.75">
      <c r="A1" s="1"/>
      <c r="B1" s="1"/>
      <c r="C1" s="1"/>
      <c r="D1" s="1"/>
      <c r="E1" s="1"/>
      <c r="F1" s="1"/>
      <c r="G1" s="1"/>
      <c r="H1" s="1"/>
      <c r="I1" s="1"/>
      <c r="J1" s="1"/>
      <c r="K1" s="1"/>
      <c r="L1" s="1"/>
    </row>
    <row r="2" spans="1:15" ht="15.75">
      <c r="A2" s="1"/>
      <c r="B2" s="1"/>
      <c r="C2" s="1"/>
      <c r="D2" s="1"/>
      <c r="E2" s="1"/>
      <c r="F2" s="1"/>
      <c r="G2" s="1"/>
      <c r="H2" s="1"/>
      <c r="I2" s="1"/>
      <c r="J2" s="1"/>
      <c r="K2" s="1"/>
      <c r="O2" s="1" t="s">
        <v>0</v>
      </c>
    </row>
    <row r="3" spans="1:12" ht="15.75">
      <c r="A3" s="1"/>
      <c r="B3" s="1"/>
      <c r="C3" s="1"/>
      <c r="D3" s="1"/>
      <c r="E3" s="1"/>
      <c r="F3" s="1"/>
      <c r="G3" s="1"/>
      <c r="H3" s="1"/>
      <c r="I3" s="1"/>
      <c r="J3" s="1"/>
      <c r="K3" s="1"/>
      <c r="L3" s="1"/>
    </row>
    <row r="4" spans="1:12" ht="15.75">
      <c r="A4" s="1"/>
      <c r="B4" s="1"/>
      <c r="C4" s="1"/>
      <c r="D4" s="1"/>
      <c r="E4" s="1"/>
      <c r="F4" s="1"/>
      <c r="G4" s="4" t="str">
        <f>'11-Wholesale Distribution'!G56</f>
        <v>Attachment 11</v>
      </c>
      <c r="H4" s="1"/>
      <c r="I4" s="1"/>
      <c r="J4" s="1"/>
      <c r="K4" s="1"/>
      <c r="L4" s="1"/>
    </row>
    <row r="5" spans="1:12" ht="15.75">
      <c r="A5" s="1"/>
      <c r="B5" s="1"/>
      <c r="C5" s="1"/>
      <c r="D5" s="1"/>
      <c r="E5" s="1"/>
      <c r="F5" s="1"/>
      <c r="G5" s="4" t="str">
        <f>'11-Wholesale Distribution'!G57</f>
        <v>Wholesale Distribution Service</v>
      </c>
      <c r="H5" s="1"/>
      <c r="I5" s="1"/>
      <c r="J5" s="1"/>
      <c r="K5" s="1"/>
      <c r="L5" s="1"/>
    </row>
    <row r="6" spans="1:12" ht="15.75">
      <c r="A6" s="1"/>
      <c r="B6" s="1"/>
      <c r="C6" s="1"/>
      <c r="D6" s="1"/>
      <c r="E6" s="1"/>
      <c r="F6" s="1"/>
      <c r="G6" s="4" t="str">
        <f>'11-Wholesale Distribution'!G58</f>
        <v>GridLiance High Plains LLC</v>
      </c>
      <c r="H6" s="1"/>
      <c r="I6" s="1"/>
      <c r="J6" s="1"/>
      <c r="K6" s="1"/>
      <c r="L6" s="1"/>
    </row>
    <row r="7" spans="1:12" ht="15.75">
      <c r="A7" s="1"/>
      <c r="B7" s="1"/>
      <c r="C7" s="1"/>
      <c r="D7" s="1"/>
      <c r="E7" s="1"/>
      <c r="F7" s="1"/>
      <c r="G7" s="1"/>
      <c r="H7" s="1"/>
      <c r="I7" s="1"/>
      <c r="J7" s="1"/>
      <c r="K7" s="1"/>
      <c r="L7" s="1"/>
    </row>
    <row r="8" spans="1:17" ht="16.5" thickBot="1">
      <c r="A8" s="6"/>
      <c r="B8" s="1"/>
      <c r="C8" s="7">
        <v>-1</v>
      </c>
      <c r="D8" s="7">
        <v>-2</v>
      </c>
      <c r="E8" s="7">
        <v>-3</v>
      </c>
      <c r="F8" s="1"/>
      <c r="G8" s="7">
        <v>-4</v>
      </c>
      <c r="H8" s="7">
        <v>-5</v>
      </c>
      <c r="I8" s="1"/>
      <c r="J8" s="7">
        <v>-6</v>
      </c>
      <c r="K8" s="7">
        <v>-7</v>
      </c>
      <c r="L8" s="7">
        <v>-8</v>
      </c>
      <c r="M8" s="7">
        <v>-9</v>
      </c>
      <c r="N8" s="7">
        <v>-10</v>
      </c>
      <c r="O8" s="7">
        <v>-11</v>
      </c>
      <c r="P8" s="7"/>
      <c r="Q8" s="7"/>
    </row>
    <row r="9" spans="1:16" ht="65.25" thickBot="1">
      <c r="A9" s="8" t="s">
        <v>1</v>
      </c>
      <c r="B9" s="9"/>
      <c r="C9" s="9" t="s">
        <v>2</v>
      </c>
      <c r="D9" s="10" t="s">
        <v>3</v>
      </c>
      <c r="E9" s="10" t="s">
        <v>4</v>
      </c>
      <c r="F9" s="11"/>
      <c r="G9" s="12" t="s">
        <v>5</v>
      </c>
      <c r="H9" s="10" t="s">
        <v>6</v>
      </c>
      <c r="I9" s="11"/>
      <c r="J9" s="10" t="s">
        <v>7</v>
      </c>
      <c r="K9" s="12" t="s">
        <v>8</v>
      </c>
      <c r="L9" s="10" t="s">
        <v>9</v>
      </c>
      <c r="M9" s="13" t="s">
        <v>10</v>
      </c>
      <c r="N9" s="13" t="s">
        <v>11</v>
      </c>
      <c r="O9" s="14" t="s">
        <v>12</v>
      </c>
      <c r="P9" s="15"/>
    </row>
    <row r="10" spans="1:16" ht="15.75">
      <c r="A10" s="16" t="s">
        <v>13</v>
      </c>
      <c r="B10" s="11"/>
      <c r="C10" s="17" t="s">
        <v>14</v>
      </c>
      <c r="D10" s="18">
        <f>J36</f>
        <v>14909649</v>
      </c>
      <c r="E10" s="19">
        <f>+K168</f>
        <v>0.086941412621657499</v>
      </c>
      <c r="F10" s="19"/>
      <c r="G10" s="19">
        <f>+D10*E10</f>
        <v>1296265.9457530831</v>
      </c>
      <c r="H10" s="18">
        <f>J52</f>
        <v>9938721.6826055162</v>
      </c>
      <c r="I10" s="11"/>
      <c r="J10" s="20">
        <f>+K171</f>
        <v>0.076425731217303922</v>
      </c>
      <c r="K10" s="19">
        <f>+H10*J10</f>
        <v>759574.07195839973</v>
      </c>
      <c r="L10" s="18">
        <f>J100</f>
        <v>298192.97999999486</v>
      </c>
      <c r="M10" s="19">
        <f>+G10+K10+L10</f>
        <v>2354032.9977114778</v>
      </c>
      <c r="N10" s="21">
        <v>1</v>
      </c>
      <c r="O10" s="22">
        <f>+M10*N10</f>
        <v>2354032.9977114778</v>
      </c>
      <c r="P10" s="1"/>
    </row>
    <row r="11" spans="1:16" ht="15.75">
      <c r="A11" s="23" t="s">
        <v>15</v>
      </c>
      <c r="B11" s="1"/>
      <c r="C11" s="24"/>
      <c r="D11" s="24"/>
      <c r="E11" s="25">
        <f>+E10</f>
        <v>0.086941412621657499</v>
      </c>
      <c r="F11" s="25"/>
      <c r="G11" s="25">
        <f t="shared" si="0" ref="G11:G14">+D11*E11</f>
        <v>0</v>
      </c>
      <c r="H11" s="26">
        <v>0</v>
      </c>
      <c r="I11" s="25"/>
      <c r="J11" s="25">
        <f>+J10</f>
        <v>0.076425731217303922</v>
      </c>
      <c r="K11" s="25">
        <f t="shared" si="1" ref="K11:K14">+H11*J11</f>
        <v>0</v>
      </c>
      <c r="L11" s="26">
        <v>0</v>
      </c>
      <c r="M11" s="25">
        <f t="shared" si="2" ref="M11:M14">+G11+K11+L11</f>
        <v>0</v>
      </c>
      <c r="N11" s="26">
        <v>0</v>
      </c>
      <c r="O11" s="27">
        <f>+M11*N11</f>
        <v>0</v>
      </c>
      <c r="P11" s="1"/>
    </row>
    <row r="12" spans="1:16" ht="15.75">
      <c r="A12" s="23" t="s">
        <v>16</v>
      </c>
      <c r="B12" s="1"/>
      <c r="C12" s="24"/>
      <c r="D12" s="24"/>
      <c r="E12" s="25">
        <f>+E11</f>
        <v>0.086941412621657499</v>
      </c>
      <c r="F12" s="25"/>
      <c r="G12" s="25">
        <f t="shared" si="0"/>
        <v>0</v>
      </c>
      <c r="H12" s="26">
        <v>0</v>
      </c>
      <c r="I12" s="25"/>
      <c r="J12" s="25">
        <f>+J11</f>
        <v>0.076425731217303922</v>
      </c>
      <c r="K12" s="25">
        <f t="shared" si="1"/>
        <v>0</v>
      </c>
      <c r="L12" s="26">
        <v>0</v>
      </c>
      <c r="M12" s="25">
        <f t="shared" si="2"/>
        <v>0</v>
      </c>
      <c r="N12" s="26">
        <v>0</v>
      </c>
      <c r="O12" s="27">
        <f>+M12*N12</f>
        <v>0</v>
      </c>
      <c r="P12" s="1"/>
    </row>
    <row r="13" spans="1:16" ht="15.75">
      <c r="A13" s="23" t="s">
        <v>17</v>
      </c>
      <c r="B13" s="1"/>
      <c r="C13" s="24"/>
      <c r="D13" s="24"/>
      <c r="E13" s="25">
        <f>+E12</f>
        <v>0.086941412621657499</v>
      </c>
      <c r="F13" s="25"/>
      <c r="G13" s="25">
        <f t="shared" si="0"/>
        <v>0</v>
      </c>
      <c r="H13" s="26">
        <v>0</v>
      </c>
      <c r="I13" s="25"/>
      <c r="J13" s="25">
        <f>+J12</f>
        <v>0.076425731217303922</v>
      </c>
      <c r="K13" s="25">
        <f t="shared" si="1"/>
        <v>0</v>
      </c>
      <c r="L13" s="26">
        <v>0</v>
      </c>
      <c r="M13" s="25">
        <f t="shared" si="2"/>
        <v>0</v>
      </c>
      <c r="N13" s="26">
        <v>0</v>
      </c>
      <c r="O13" s="27">
        <f>+M13*N13</f>
        <v>0</v>
      </c>
      <c r="P13" s="1"/>
    </row>
    <row r="14" spans="1:16" ht="16.5" thickBot="1">
      <c r="A14" s="29" t="s">
        <v>18</v>
      </c>
      <c r="B14" s="30"/>
      <c r="C14" s="31"/>
      <c r="D14" s="31"/>
      <c r="E14" s="32">
        <f>+E13</f>
        <v>0.086941412621657499</v>
      </c>
      <c r="F14" s="32"/>
      <c r="G14" s="32">
        <f t="shared" si="0"/>
        <v>0</v>
      </c>
      <c r="H14" s="33">
        <v>0</v>
      </c>
      <c r="I14" s="32"/>
      <c r="J14" s="32">
        <f>+J13</f>
        <v>0.076425731217303922</v>
      </c>
      <c r="K14" s="32">
        <f t="shared" si="1"/>
        <v>0</v>
      </c>
      <c r="L14" s="33">
        <v>0</v>
      </c>
      <c r="M14" s="32">
        <f t="shared" si="2"/>
        <v>0</v>
      </c>
      <c r="N14" s="33">
        <v>0</v>
      </c>
      <c r="O14" s="34">
        <f>+M14*N14</f>
        <v>0</v>
      </c>
      <c r="P14" s="1"/>
    </row>
    <row r="15" spans="1:16" ht="15.75">
      <c r="A15" s="4" t="s">
        <v>19</v>
      </c>
      <c r="B15" s="1"/>
      <c r="C15" s="1" t="s">
        <v>20</v>
      </c>
      <c r="D15" s="1"/>
      <c r="E15" s="1"/>
      <c r="F15" s="1"/>
      <c r="G15" s="1"/>
      <c r="H15" s="1"/>
      <c r="I15" s="1"/>
      <c r="J15" s="1"/>
      <c r="K15" s="1"/>
      <c r="L15" s="1"/>
      <c r="M15" s="1"/>
      <c r="N15" s="1"/>
      <c r="O15" s="19">
        <f>SUM(O10:O14)</f>
        <v>2354032.9977114778</v>
      </c>
      <c r="P15" s="1"/>
    </row>
    <row r="16" spans="1:16" ht="15.75">
      <c r="A16" s="4"/>
      <c r="B16" s="1"/>
      <c r="C16" s="1" t="s">
        <v>21</v>
      </c>
      <c r="D16" s="1"/>
      <c r="E16" s="1"/>
      <c r="F16" s="1"/>
      <c r="G16" s="1"/>
      <c r="H16" s="1"/>
      <c r="I16" s="1"/>
      <c r="J16" s="1"/>
      <c r="K16" s="1"/>
      <c r="L16" s="1"/>
      <c r="M16" s="1"/>
      <c r="N16" s="1"/>
      <c r="O16" s="35">
        <f>+'12 Wholesale Dist True-Up'!K39</f>
        <v>1446629.3960666563</v>
      </c>
      <c r="P16" s="1"/>
    </row>
    <row r="17" spans="1:16" ht="15.75">
      <c r="A17" s="4"/>
      <c r="B17" s="1"/>
      <c r="C17" s="1" t="s">
        <v>22</v>
      </c>
      <c r="D17" s="1"/>
      <c r="E17" s="1"/>
      <c r="F17" s="1"/>
      <c r="G17" s="1"/>
      <c r="H17" s="1"/>
      <c r="I17" s="1"/>
      <c r="J17" s="1"/>
      <c r="K17" s="1"/>
      <c r="L17" s="1"/>
      <c r="M17" s="1"/>
      <c r="N17" s="1"/>
      <c r="O17" s="5">
        <f>+O15+O16</f>
        <v>3800662.3937781341</v>
      </c>
      <c r="P17" s="1"/>
    </row>
    <row r="18" spans="1:16" ht="15.75">
      <c r="A18" s="4"/>
      <c r="B18" s="1"/>
      <c r="C18" s="1" t="s">
        <v>23</v>
      </c>
      <c r="D18" s="1"/>
      <c r="E18" s="1"/>
      <c r="F18" s="1"/>
      <c r="G18" s="1"/>
      <c r="H18" s="1"/>
      <c r="I18" s="1"/>
      <c r="J18" s="1"/>
      <c r="K18" s="1"/>
      <c r="L18" s="1"/>
      <c r="M18" s="1"/>
      <c r="N18" s="1"/>
      <c r="O18" s="5"/>
      <c r="P18" s="1"/>
    </row>
    <row r="19" spans="1:16" ht="15.75">
      <c r="A19" s="4"/>
      <c r="B19" s="1"/>
      <c r="C19" s="1"/>
      <c r="D19" s="1"/>
      <c r="E19" s="1"/>
      <c r="F19" s="1"/>
      <c r="G19" s="1"/>
      <c r="H19" s="1"/>
      <c r="I19" s="1"/>
      <c r="J19" s="1"/>
      <c r="K19" s="1"/>
      <c r="M19" s="1"/>
      <c r="N19" s="1"/>
      <c r="O19" s="5"/>
      <c r="P19" s="1"/>
    </row>
    <row r="20" spans="1:16" ht="15.75">
      <c r="A20" s="4"/>
      <c r="B20" s="1"/>
      <c r="C20" s="1"/>
      <c r="D20" s="1"/>
      <c r="E20" s="1"/>
      <c r="F20" s="1"/>
      <c r="G20" s="4" t="s">
        <v>24</v>
      </c>
      <c r="H20" s="1"/>
      <c r="I20" s="1"/>
      <c r="J20" s="1"/>
      <c r="K20" s="1"/>
      <c r="L20" s="1"/>
      <c r="M20" s="1"/>
      <c r="N20" s="1"/>
      <c r="O20" s="1" t="s">
        <v>25</v>
      </c>
      <c r="P20" s="1"/>
    </row>
    <row r="21" spans="1:16" ht="15.75">
      <c r="A21" s="4"/>
      <c r="B21" s="1"/>
      <c r="C21" s="1"/>
      <c r="D21" s="1"/>
      <c r="E21" s="1"/>
      <c r="F21" s="1"/>
      <c r="G21" s="4" t="s">
        <v>2</v>
      </c>
      <c r="H21" s="1"/>
      <c r="I21" s="1"/>
      <c r="J21" s="1"/>
      <c r="K21" s="1"/>
      <c r="L21" s="1"/>
      <c r="M21" s="1"/>
      <c r="N21" s="1"/>
      <c r="O21" s="5"/>
      <c r="P21" s="1"/>
    </row>
    <row r="22" spans="1:16" ht="15.75">
      <c r="A22" s="4"/>
      <c r="B22" s="1"/>
      <c r="C22" s="1"/>
      <c r="D22" s="1"/>
      <c r="E22" s="1"/>
      <c r="F22" s="1"/>
      <c r="G22" s="4" t="s">
        <v>26</v>
      </c>
      <c r="H22" s="1"/>
      <c r="I22" s="1"/>
      <c r="J22" s="1"/>
      <c r="K22" s="1"/>
      <c r="L22" s="1"/>
      <c r="M22" s="1"/>
      <c r="N22" s="1"/>
      <c r="O22" s="5"/>
      <c r="P22" s="1"/>
    </row>
    <row r="23" spans="1:16" ht="15.75">
      <c r="A23" s="4"/>
      <c r="B23" s="1"/>
      <c r="C23" s="1"/>
      <c r="D23" s="1"/>
      <c r="E23" s="1"/>
      <c r="F23" s="1"/>
      <c r="G23" s="1"/>
      <c r="H23" s="1"/>
      <c r="I23" s="1"/>
      <c r="J23" s="1"/>
      <c r="K23" s="1"/>
      <c r="L23" s="1"/>
      <c r="M23" s="1"/>
      <c r="N23" s="1"/>
      <c r="O23" s="5"/>
      <c r="P23" s="1"/>
    </row>
    <row r="24" spans="1:16" ht="15.75">
      <c r="A24" s="4"/>
      <c r="B24" s="1"/>
      <c r="C24" s="1"/>
      <c r="D24" s="1"/>
      <c r="E24" s="1"/>
      <c r="F24" s="1"/>
      <c r="G24" s="1"/>
      <c r="H24" s="1"/>
      <c r="I24" s="1"/>
      <c r="J24" s="1"/>
      <c r="K24" s="1"/>
      <c r="L24" s="1"/>
      <c r="M24" s="1"/>
      <c r="N24" s="1"/>
      <c r="O24" s="5"/>
      <c r="P24" s="1"/>
    </row>
    <row r="25" spans="1:16" ht="15.75">
      <c r="A25" s="4"/>
      <c r="B25" s="1"/>
      <c r="C25" s="1"/>
      <c r="D25" s="1"/>
      <c r="E25" s="1"/>
      <c r="F25" s="1"/>
      <c r="G25" s="1"/>
      <c r="H25" s="1"/>
      <c r="I25" s="1"/>
      <c r="J25" s="1"/>
      <c r="K25" s="1"/>
      <c r="L25" s="1"/>
      <c r="M25" s="1"/>
      <c r="O25" s="1"/>
      <c r="P25" s="1"/>
    </row>
    <row r="26" spans="1:16" ht="15.75">
      <c r="A26" s="36"/>
      <c r="B26" s="1"/>
      <c r="C26" s="37" t="s">
        <v>27</v>
      </c>
      <c r="D26" s="37" t="s">
        <v>28</v>
      </c>
      <c r="E26" s="37" t="s">
        <v>29</v>
      </c>
      <c r="F26" s="38" t="s">
        <v>30</v>
      </c>
      <c r="G26" s="38"/>
      <c r="H26" s="39" t="s">
        <v>31</v>
      </c>
      <c r="I26" s="38"/>
      <c r="J26" s="39" t="s">
        <v>32</v>
      </c>
      <c r="K26" s="38"/>
      <c r="L26" s="37"/>
      <c r="M26" s="1"/>
      <c r="N26" s="1"/>
      <c r="O26" s="1"/>
      <c r="P26" s="1"/>
    </row>
    <row r="27" spans="1:16" ht="15.75">
      <c r="A27" s="36"/>
      <c r="B27" s="1"/>
      <c r="C27" s="40"/>
      <c r="D27" s="41"/>
      <c r="E27" s="38"/>
      <c r="F27" s="38"/>
      <c r="G27" s="42" t="s">
        <v>33</v>
      </c>
      <c r="H27" s="36"/>
      <c r="I27" s="38"/>
      <c r="J27" s="42" t="s">
        <v>34</v>
      </c>
      <c r="K27" s="38"/>
      <c r="L27" s="37"/>
      <c r="M27" s="1"/>
      <c r="N27" s="1"/>
      <c r="O27" s="1"/>
      <c r="P27" s="1"/>
    </row>
    <row r="28" spans="1:12" ht="15.75">
      <c r="A28" s="43" t="s">
        <v>35</v>
      </c>
      <c r="B28" s="1"/>
      <c r="C28" s="40"/>
      <c r="D28" s="44" t="s">
        <v>36</v>
      </c>
      <c r="E28" s="42" t="s">
        <v>37</v>
      </c>
      <c r="F28" s="45"/>
      <c r="G28" s="1082" t="s">
        <v>38</v>
      </c>
      <c r="H28" s="1082"/>
      <c r="I28" s="45"/>
      <c r="J28" s="43" t="s">
        <v>39</v>
      </c>
      <c r="K28" s="38"/>
      <c r="L28" s="37"/>
    </row>
    <row r="29" spans="1:12" ht="16.5" thickBot="1">
      <c r="A29" s="46" t="s">
        <v>40</v>
      </c>
      <c r="B29" s="1"/>
      <c r="C29" s="47" t="s">
        <v>41</v>
      </c>
      <c r="D29" s="38"/>
      <c r="E29" s="38"/>
      <c r="F29" s="38"/>
      <c r="G29" s="1095" t="s">
        <v>42</v>
      </c>
      <c r="H29" s="1095"/>
      <c r="I29" s="38"/>
      <c r="J29" s="38"/>
      <c r="K29" s="38"/>
      <c r="L29" s="38"/>
    </row>
    <row r="30" spans="1:12" ht="15.75">
      <c r="A30" s="43"/>
      <c r="B30" s="1"/>
      <c r="C30" s="40" t="s">
        <v>43</v>
      </c>
      <c r="D30" s="38"/>
      <c r="E30" s="38"/>
      <c r="F30" s="38"/>
      <c r="G30" s="38"/>
      <c r="H30" s="38"/>
      <c r="I30" s="38"/>
      <c r="J30" s="38"/>
      <c r="K30" s="38"/>
      <c r="L30" s="38"/>
    </row>
    <row r="31" spans="1:12" ht="15.75">
      <c r="A31" s="43">
        <v>1</v>
      </c>
      <c r="B31" s="1"/>
      <c r="C31" s="40" t="s">
        <v>44</v>
      </c>
      <c r="D31" s="48" t="str">
        <f>+'Attachment H'!$B$2&amp;", Page 2, Line "&amp;'Attachment H'!A63</f>
        <v>Attachment H, Page 2, Line 1</v>
      </c>
      <c r="E31" s="5">
        <f>+'Attachment H'!D63</f>
        <v>0</v>
      </c>
      <c r="F31" s="38"/>
      <c r="G31" s="38" t="s">
        <v>45</v>
      </c>
      <c r="H31" s="49" t="s">
        <v>30</v>
      </c>
      <c r="I31" s="38"/>
      <c r="J31" s="5">
        <v>0</v>
      </c>
      <c r="K31" s="38"/>
      <c r="L31" s="38"/>
    </row>
    <row r="32" spans="1:12" ht="15.75">
      <c r="A32" s="43">
        <f>+A31+1</f>
        <v>2</v>
      </c>
      <c r="B32" s="1"/>
      <c r="C32" s="40" t="s">
        <v>46</v>
      </c>
      <c r="D32" s="48" t="str">
        <f>+'Attachment H'!$B$2&amp;", Page 2, Line "&amp;'Attachment H'!A64</f>
        <v>Attachment H, Page 2, Line 2</v>
      </c>
      <c r="E32" s="50">
        <f>+'Attachment H'!D64</f>
        <v>0</v>
      </c>
      <c r="F32" s="38"/>
      <c r="G32" s="38" t="s">
        <v>45</v>
      </c>
      <c r="H32" s="25"/>
      <c r="I32" s="48"/>
      <c r="J32" s="5">
        <f>+H32*E32</f>
        <v>0</v>
      </c>
      <c r="K32" s="38"/>
      <c r="L32" s="38"/>
    </row>
    <row r="33" spans="1:12" ht="15.75">
      <c r="A33" s="43">
        <f>+A32+1</f>
        <v>3</v>
      </c>
      <c r="B33" s="1"/>
      <c r="C33" s="40" t="s">
        <v>47</v>
      </c>
      <c r="D33" s="48" t="s">
        <v>48</v>
      </c>
      <c r="E33" s="50">
        <f>+'Attachment H'!D65</f>
        <v>14909649</v>
      </c>
      <c r="F33" s="38"/>
      <c r="G33" s="38" t="s">
        <v>49</v>
      </c>
      <c r="H33" s="25">
        <v>1</v>
      </c>
      <c r="I33" s="48"/>
      <c r="J33" s="5">
        <f>+E33*H33</f>
        <v>14909649</v>
      </c>
      <c r="K33" s="38"/>
      <c r="L33" s="38"/>
    </row>
    <row r="34" spans="1:12" ht="15.75">
      <c r="A34" s="43">
        <f>+A33+1</f>
        <v>4</v>
      </c>
      <c r="B34" s="1"/>
      <c r="C34" s="40" t="s">
        <v>50</v>
      </c>
      <c r="D34" s="48" t="str">
        <f>+'Attachment H'!$B$2&amp;", Page 2, Line "&amp;'Attachment H'!A66</f>
        <v>Attachment H, Page 2, Line 4</v>
      </c>
      <c r="E34" s="5">
        <f>+'Attachment H'!D66</f>
        <v>0</v>
      </c>
      <c r="F34" s="38"/>
      <c r="G34" s="38" t="s">
        <v>51</v>
      </c>
      <c r="H34" s="25">
        <f>J149</f>
        <v>1</v>
      </c>
      <c r="I34" s="48"/>
      <c r="J34" s="5">
        <f>+H34*E34</f>
        <v>0</v>
      </c>
      <c r="K34" s="38"/>
      <c r="L34" s="38"/>
    </row>
    <row r="35" spans="1:12" ht="16.5" thickBot="1">
      <c r="A35" s="43">
        <f>+A34+1</f>
        <v>5</v>
      </c>
      <c r="B35" s="1"/>
      <c r="C35" s="40" t="s">
        <v>52</v>
      </c>
      <c r="D35" s="48" t="str">
        <f>+'Attachment H'!$B$2&amp;", Page 2, Line "&amp;'Attachment H'!A67</f>
        <v>Attachment H, Page 2, Line 5</v>
      </c>
      <c r="E35" s="5">
        <f>+'Attachment H'!D67</f>
        <v>0</v>
      </c>
      <c r="F35" s="38"/>
      <c r="G35" s="38" t="s">
        <v>53</v>
      </c>
      <c r="H35" s="25">
        <f>L153</f>
        <v>0</v>
      </c>
      <c r="I35" s="48"/>
      <c r="J35" s="51">
        <f>+H35*E35</f>
        <v>0</v>
      </c>
      <c r="K35" s="38"/>
      <c r="L35" s="38"/>
    </row>
    <row r="36" spans="1:12" ht="15.75">
      <c r="A36" s="43">
        <f>+A35+1</f>
        <v>6</v>
      </c>
      <c r="B36" s="1"/>
      <c r="C36" s="52" t="s">
        <v>54</v>
      </c>
      <c r="D36" s="38" t="s">
        <v>55</v>
      </c>
      <c r="E36" s="5">
        <f>SUM(E31:E35)</f>
        <v>14909649</v>
      </c>
      <c r="F36" s="38"/>
      <c r="G36" s="38" t="s">
        <v>56</v>
      </c>
      <c r="H36" s="53">
        <f>IF(J36&gt;0,J36/E36,0)</f>
        <v>1</v>
      </c>
      <c r="I36" s="48"/>
      <c r="J36" s="5">
        <f>SUM(J31:J35)</f>
        <v>14909649</v>
      </c>
      <c r="K36" s="38"/>
      <c r="L36" s="54"/>
    </row>
    <row r="37" spans="1:12" ht="15.75">
      <c r="A37" s="43"/>
      <c r="B37" s="1"/>
      <c r="C37" s="40"/>
      <c r="D37" s="38"/>
      <c r="E37" s="5"/>
      <c r="F37" s="38"/>
      <c r="G37" s="38"/>
      <c r="H37" s="54"/>
      <c r="I37" s="38"/>
      <c r="J37" s="5"/>
      <c r="K37" s="38"/>
      <c r="L37" s="54"/>
    </row>
    <row r="38" spans="1:12" ht="15.75">
      <c r="A38" s="43">
        <f>+A36+1</f>
        <v>7</v>
      </c>
      <c r="B38" s="1"/>
      <c r="C38" s="40" t="s">
        <v>57</v>
      </c>
      <c r="D38" s="38"/>
      <c r="E38" s="5"/>
      <c r="F38" s="38"/>
      <c r="G38" s="38"/>
      <c r="H38" s="38"/>
      <c r="I38" s="38"/>
      <c r="J38" s="5"/>
      <c r="K38" s="38"/>
      <c r="L38" s="38"/>
    </row>
    <row r="39" spans="1:12" ht="15.75">
      <c r="A39" s="43">
        <f t="shared" si="3" ref="A39:A44">+A38+1</f>
        <v>8</v>
      </c>
      <c r="B39" s="1"/>
      <c r="C39" s="40" t="s">
        <v>44</v>
      </c>
      <c r="D39" s="48" t="str">
        <f>+'Attachment H'!$B$2&amp;", Page 2, Line "&amp;'Attachment H'!A71</f>
        <v>Attachment H, Page 2, Line 8</v>
      </c>
      <c r="E39" s="5">
        <f>+'Attachment H'!D71</f>
        <v>0</v>
      </c>
      <c r="F39" s="38"/>
      <c r="G39" s="38" t="s">
        <v>45</v>
      </c>
      <c r="H39" s="49" t="s">
        <v>30</v>
      </c>
      <c r="I39" s="38"/>
      <c r="J39" s="5">
        <v>0</v>
      </c>
      <c r="K39" s="38"/>
      <c r="L39" s="38"/>
    </row>
    <row r="40" spans="1:12" ht="15.75">
      <c r="A40" s="43">
        <f t="shared" si="3"/>
        <v>9</v>
      </c>
      <c r="B40" s="1"/>
      <c r="C40" s="40" t="s">
        <v>46</v>
      </c>
      <c r="D40" s="48" t="str">
        <f>+'Attachment H'!$B$2&amp;", Page 2, Line "&amp;'Attachment H'!A72</f>
        <v>Attachment H, Page 2, Line 9</v>
      </c>
      <c r="E40" s="5">
        <f>+'Attachment H'!D72</f>
        <v>0</v>
      </c>
      <c r="F40" s="38"/>
      <c r="G40" s="38" t="s">
        <v>45</v>
      </c>
      <c r="H40" s="25"/>
      <c r="I40" s="48"/>
      <c r="J40" s="5">
        <f>+H40*E40</f>
        <v>0</v>
      </c>
      <c r="K40" s="38"/>
      <c r="L40" s="38"/>
    </row>
    <row r="41" spans="1:12" ht="15.75">
      <c r="A41" s="43">
        <f t="shared" si="3"/>
        <v>10</v>
      </c>
      <c r="B41" s="1"/>
      <c r="C41" s="40" t="s">
        <v>47</v>
      </c>
      <c r="D41" s="48" t="s">
        <v>58</v>
      </c>
      <c r="E41" s="5">
        <f>+'Attachment H'!D73</f>
        <v>4970927.3173944838</v>
      </c>
      <c r="F41" s="38"/>
      <c r="G41" s="38" t="s">
        <v>49</v>
      </c>
      <c r="H41" s="25">
        <v>1</v>
      </c>
      <c r="I41" s="48"/>
      <c r="J41" s="5">
        <f>+H41*E41</f>
        <v>4970927.3173944838</v>
      </c>
      <c r="K41" s="38"/>
      <c r="L41" s="38"/>
    </row>
    <row r="42" spans="1:12" ht="15.75">
      <c r="A42" s="43">
        <f t="shared" si="3"/>
        <v>11</v>
      </c>
      <c r="B42" s="1"/>
      <c r="C42" s="40" t="s">
        <v>50</v>
      </c>
      <c r="D42" s="48" t="str">
        <f>+'Attachment H'!$B$2&amp;", Page 2, Line "&amp;'Attachment H'!A74</f>
        <v>Attachment H, Page 2, Line 11</v>
      </c>
      <c r="E42" s="5">
        <f>+'Attachment H'!D74</f>
        <v>0</v>
      </c>
      <c r="F42" s="38"/>
      <c r="G42" s="38" t="s">
        <v>51</v>
      </c>
      <c r="H42" s="25">
        <f>+H34</f>
        <v>1</v>
      </c>
      <c r="I42" s="48"/>
      <c r="J42" s="5">
        <f>+H42*E42</f>
        <v>0</v>
      </c>
      <c r="K42" s="38"/>
      <c r="L42" s="38"/>
    </row>
    <row r="43" spans="1:12" ht="16.5" thickBot="1">
      <c r="A43" s="43">
        <f t="shared" si="3"/>
        <v>12</v>
      </c>
      <c r="B43" s="1"/>
      <c r="C43" s="40" t="s">
        <v>52</v>
      </c>
      <c r="D43" s="48" t="str">
        <f>+'Attachment H'!$B$2&amp;", Page 2, Line "&amp;'Attachment H'!A75</f>
        <v>Attachment H, Page 2, Line 12</v>
      </c>
      <c r="E43" s="51">
        <f>+'Attachment H'!D75</f>
        <v>0</v>
      </c>
      <c r="F43" s="38"/>
      <c r="G43" s="38" t="s">
        <v>53</v>
      </c>
      <c r="H43" s="25">
        <f>+H35</f>
        <v>0</v>
      </c>
      <c r="I43" s="48"/>
      <c r="J43" s="51">
        <f>+H43*E43</f>
        <v>0</v>
      </c>
      <c r="K43" s="38"/>
      <c r="L43" s="38"/>
    </row>
    <row r="44" spans="1:12" ht="15.75">
      <c r="A44" s="43">
        <f t="shared" si="3"/>
        <v>13</v>
      </c>
      <c r="B44" s="1"/>
      <c r="C44" s="40" t="s">
        <v>59</v>
      </c>
      <c r="D44" s="38" t="s">
        <v>60</v>
      </c>
      <c r="E44" s="5">
        <f>SUM(E39:E43)</f>
        <v>4970927.3173944838</v>
      </c>
      <c r="F44" s="38"/>
      <c r="G44" s="38"/>
      <c r="H44" s="25"/>
      <c r="I44" s="48"/>
      <c r="J44" s="5">
        <f>SUM(J39:J43)</f>
        <v>4970927.3173944838</v>
      </c>
      <c r="K44" s="38"/>
      <c r="L44" s="38"/>
    </row>
    <row r="45" spans="1:12" ht="15.75">
      <c r="A45" s="43"/>
      <c r="B45" s="1"/>
      <c r="C45" s="36"/>
      <c r="D45" s="38" t="s">
        <v>30</v>
      </c>
      <c r="E45" s="5"/>
      <c r="F45" s="38"/>
      <c r="G45" s="38"/>
      <c r="H45" s="53"/>
      <c r="I45" s="38"/>
      <c r="J45" s="5"/>
      <c r="K45" s="38"/>
      <c r="L45" s="54"/>
    </row>
    <row r="46" spans="1:12" ht="15.75">
      <c r="A46" s="43">
        <f>+A44+1</f>
        <v>14</v>
      </c>
      <c r="B46" s="1"/>
      <c r="C46" s="40" t="s">
        <v>61</v>
      </c>
      <c r="D46" s="38"/>
      <c r="E46" s="5"/>
      <c r="F46" s="38"/>
      <c r="G46" s="38"/>
      <c r="H46" s="25"/>
      <c r="I46" s="38"/>
      <c r="J46" s="5"/>
      <c r="K46" s="38"/>
      <c r="L46" s="38"/>
    </row>
    <row r="47" spans="1:12" ht="15.75">
      <c r="A47" s="43">
        <f t="shared" si="4" ref="A47:A52">+A46+1</f>
        <v>15</v>
      </c>
      <c r="B47" s="1"/>
      <c r="C47" s="40" t="s">
        <v>44</v>
      </c>
      <c r="D47" s="38" t="str">
        <f>"(line "&amp;A31&amp;" - line "&amp;A39&amp;")"</f>
        <v>(line 1 - line 8)</v>
      </c>
      <c r="E47" s="5">
        <f>E31-E39</f>
        <v>0</v>
      </c>
      <c r="F47" s="48"/>
      <c r="G47" s="48"/>
      <c r="H47" s="53"/>
      <c r="I47" s="48"/>
      <c r="J47" s="5">
        <f>J31-J39</f>
        <v>0</v>
      </c>
      <c r="K47" s="38"/>
      <c r="L47" s="54"/>
    </row>
    <row r="48" spans="1:12" ht="15.75">
      <c r="A48" s="43">
        <f t="shared" si="4"/>
        <v>16</v>
      </c>
      <c r="B48" s="1"/>
      <c r="C48" s="40" t="s">
        <v>46</v>
      </c>
      <c r="D48" s="38" t="s">
        <v>62</v>
      </c>
      <c r="E48" s="5">
        <f>E32-E40</f>
        <v>0</v>
      </c>
      <c r="F48" s="48"/>
      <c r="G48" s="48"/>
      <c r="H48" s="25"/>
      <c r="I48" s="48"/>
      <c r="J48" s="5">
        <f>J32-J40</f>
        <v>0</v>
      </c>
      <c r="K48" s="38"/>
      <c r="L48" s="54"/>
    </row>
    <row r="49" spans="1:12" ht="15.75">
      <c r="A49" s="43">
        <f t="shared" si="4"/>
        <v>17</v>
      </c>
      <c r="B49" s="1"/>
      <c r="C49" s="40" t="s">
        <v>47</v>
      </c>
      <c r="D49" s="38" t="str">
        <f>"(line "&amp;A33&amp;" - line "&amp;A41&amp;")"</f>
        <v>(line 3 - line 10)</v>
      </c>
      <c r="E49" s="5">
        <f>E33-E41</f>
        <v>9938721.6826055162</v>
      </c>
      <c r="F49" s="48"/>
      <c r="G49" s="48"/>
      <c r="H49" s="53"/>
      <c r="I49" s="48"/>
      <c r="J49" s="5">
        <f>J33-J41</f>
        <v>9938721.6826055162</v>
      </c>
      <c r="K49" s="38"/>
      <c r="L49" s="54"/>
    </row>
    <row r="50" spans="1:12" ht="15.75">
      <c r="A50" s="43">
        <f t="shared" si="4"/>
        <v>18</v>
      </c>
      <c r="B50" s="1"/>
      <c r="C50" s="40" t="s">
        <v>50</v>
      </c>
      <c r="D50" s="38" t="s">
        <v>63</v>
      </c>
      <c r="E50" s="5">
        <f>E34-E42</f>
        <v>0</v>
      </c>
      <c r="F50" s="48"/>
      <c r="G50" s="48"/>
      <c r="H50" s="53"/>
      <c r="I50" s="48"/>
      <c r="J50" s="5">
        <f>J34-J42</f>
        <v>0</v>
      </c>
      <c r="K50" s="38"/>
      <c r="L50" s="54"/>
    </row>
    <row r="51" spans="1:12" ht="16.5" thickBot="1">
      <c r="A51" s="43">
        <f t="shared" si="4"/>
        <v>19</v>
      </c>
      <c r="B51" s="1"/>
      <c r="C51" s="40" t="s">
        <v>52</v>
      </c>
      <c r="D51" s="38" t="str">
        <f>"(line "&amp;A35&amp;" - line "&amp;A43&amp;")"</f>
        <v>(line 5 - line 12)</v>
      </c>
      <c r="E51" s="51">
        <f>E35-E43</f>
        <v>0</v>
      </c>
      <c r="F51" s="48"/>
      <c r="G51" s="48"/>
      <c r="H51" s="53"/>
      <c r="I51" s="48"/>
      <c r="J51" s="51">
        <f>J35-J43</f>
        <v>0</v>
      </c>
      <c r="K51" s="38"/>
      <c r="L51" s="54"/>
    </row>
    <row r="52" spans="1:12" ht="15.75">
      <c r="A52" s="43">
        <f t="shared" si="4"/>
        <v>20</v>
      </c>
      <c r="B52" s="1"/>
      <c r="C52" s="40" t="s">
        <v>64</v>
      </c>
      <c r="D52" s="38" t="s">
        <v>65</v>
      </c>
      <c r="E52" s="50">
        <f>SUM(E47:E51)</f>
        <v>9938721.6826055162</v>
      </c>
      <c r="F52" s="48"/>
      <c r="G52" s="48" t="s">
        <v>66</v>
      </c>
      <c r="H52" s="53">
        <f>IF(J52&gt;0,J52/E52,0)</f>
        <v>1</v>
      </c>
      <c r="I52" s="48"/>
      <c r="J52" s="5">
        <f>SUM(J47:J51)</f>
        <v>9938721.6826055162</v>
      </c>
      <c r="K52" s="38"/>
      <c r="L52" s="38"/>
    </row>
    <row r="53" spans="1:12" ht="15.75">
      <c r="A53" s="43"/>
      <c r="B53" s="1"/>
      <c r="C53" s="36"/>
      <c r="D53" s="38"/>
      <c r="E53" s="5"/>
      <c r="F53" s="38"/>
      <c r="G53" s="36"/>
      <c r="H53" s="36"/>
      <c r="I53" s="38"/>
      <c r="J53" s="5"/>
      <c r="K53" s="38"/>
      <c r="L53" s="54"/>
    </row>
    <row r="54" spans="1:12" ht="15.75">
      <c r="A54" s="43">
        <f>+A52+1</f>
        <v>21</v>
      </c>
      <c r="B54" s="1"/>
      <c r="C54" s="52" t="s">
        <v>67</v>
      </c>
      <c r="D54" s="38"/>
      <c r="E54" s="5"/>
      <c r="F54" s="38"/>
      <c r="G54" s="38"/>
      <c r="H54" s="38"/>
      <c r="I54" s="38"/>
      <c r="J54" s="5"/>
      <c r="K54" s="38"/>
      <c r="L54" s="38"/>
    </row>
    <row r="55" spans="1:12" ht="15.75">
      <c r="A55" s="43">
        <f>+A54+1</f>
        <v>22</v>
      </c>
      <c r="B55" s="1"/>
      <c r="C55" s="40" t="s">
        <v>68</v>
      </c>
      <c r="D55" s="48" t="str">
        <f>+'Attachment H'!$B$2&amp;", Page 2, Line "&amp;'Attachment H'!A87</f>
        <v>Attachment H, Page 2, Line 22</v>
      </c>
      <c r="E55" s="5">
        <f>+'Attachment H'!D87</f>
        <v>0</v>
      </c>
      <c r="F55" s="38"/>
      <c r="G55" s="38" t="s">
        <v>45</v>
      </c>
      <c r="H55" s="55" t="s">
        <v>69</v>
      </c>
      <c r="I55" s="48"/>
      <c r="J55" s="50">
        <v>0</v>
      </c>
      <c r="K55" s="38"/>
      <c r="L55" s="54"/>
    </row>
    <row r="56" spans="1:12" ht="15.75">
      <c r="A56" s="43">
        <f>+A55+1</f>
        <v>23</v>
      </c>
      <c r="B56" s="1"/>
      <c r="C56" s="40" t="s">
        <v>70</v>
      </c>
      <c r="D56" s="48" t="str">
        <f>+'Attachment H'!$B$2&amp;", Page 2, Line "&amp;'Attachment H'!A88</f>
        <v>Attachment H, Page 2, Line 23</v>
      </c>
      <c r="E56" s="5">
        <f>+'Attachment H'!D88</f>
        <v>-511867.60651903506</v>
      </c>
      <c r="F56" s="38"/>
      <c r="G56" s="38" t="s">
        <v>49</v>
      </c>
      <c r="H56" s="56">
        <v>1</v>
      </c>
      <c r="I56" s="48"/>
      <c r="J56" s="50">
        <f>E56*H56</f>
        <v>-511867.60651903506</v>
      </c>
      <c r="K56" s="38"/>
      <c r="L56" s="54"/>
    </row>
    <row r="57" spans="1:12" ht="15.75">
      <c r="A57" s="43">
        <f>+A56+1</f>
        <v>24</v>
      </c>
      <c r="B57" s="1"/>
      <c r="C57" s="40" t="s">
        <v>71</v>
      </c>
      <c r="D57" s="48" t="str">
        <f>+'Attachment H'!$B$2&amp;", Page 2, Line "&amp;'Attachment H'!A89</f>
        <v>Attachment H, Page 2, Line 24</v>
      </c>
      <c r="E57" s="5">
        <f>+'Attachment H'!D89</f>
        <v>-1952.7178082191781</v>
      </c>
      <c r="F57" s="38"/>
      <c r="G57" s="38" t="s">
        <v>49</v>
      </c>
      <c r="H57" s="56">
        <v>1</v>
      </c>
      <c r="I57" s="48"/>
      <c r="J57" s="50">
        <f>E57*H57</f>
        <v>-1952.7178082191781</v>
      </c>
      <c r="K57" s="38"/>
      <c r="L57" s="54"/>
    </row>
    <row r="58" spans="1:12" ht="15.75">
      <c r="A58" s="43">
        <f>+A57+1</f>
        <v>25</v>
      </c>
      <c r="B58" s="1"/>
      <c r="C58" s="40" t="s">
        <v>72</v>
      </c>
      <c r="D58" s="48" t="str">
        <f>+'Attachment H'!$B$2&amp;", Page 2, Line "&amp;'Attachment H'!A90</f>
        <v>Attachment H, Page 2, Line 25</v>
      </c>
      <c r="E58" s="5">
        <f>+'Attachment H'!D90</f>
        <v>97734</v>
      </c>
      <c r="F58" s="38"/>
      <c r="G58" s="38" t="s">
        <v>49</v>
      </c>
      <c r="H58" s="56">
        <v>1</v>
      </c>
      <c r="I58" s="48"/>
      <c r="J58" s="50">
        <f>E58*H58</f>
        <v>97734</v>
      </c>
      <c r="K58" s="38"/>
      <c r="L58" s="54"/>
    </row>
    <row r="59" spans="1:12" ht="15.75">
      <c r="A59" s="43">
        <f>+A58+1</f>
        <v>26</v>
      </c>
      <c r="B59" s="1"/>
      <c r="C59" s="36" t="s">
        <v>73</v>
      </c>
      <c r="D59" s="48" t="str">
        <f>+'Attachment H'!$B$2&amp;", Page 2, Line "&amp;'Attachment H'!A91</f>
        <v>Attachment H, Page 2, Line 26</v>
      </c>
      <c r="E59" s="5">
        <f>+'Attachment H'!D91</f>
        <v>0</v>
      </c>
      <c r="F59" s="38"/>
      <c r="G59" s="38" t="s">
        <v>74</v>
      </c>
      <c r="H59" s="56">
        <f>+H51</f>
        <v>0</v>
      </c>
      <c r="I59" s="48"/>
      <c r="J59" s="50">
        <f>E59*H59</f>
        <v>0</v>
      </c>
      <c r="K59" s="38"/>
      <c r="L59" s="54"/>
    </row>
    <row r="60" spans="1:12" ht="15.75">
      <c r="A60" s="43" t="s">
        <v>75</v>
      </c>
      <c r="B60" s="1"/>
      <c r="C60" s="36" t="s">
        <v>76</v>
      </c>
      <c r="D60" s="48" t="s">
        <v>77</v>
      </c>
      <c r="E60" s="5">
        <f>+'Attachment H'!D92</f>
        <v>0</v>
      </c>
      <c r="F60" s="38"/>
      <c r="G60" s="38" t="s">
        <v>49</v>
      </c>
      <c r="H60" s="56">
        <v>1</v>
      </c>
      <c r="I60" s="48"/>
      <c r="J60" s="50">
        <f>+H60*E60</f>
        <v>0</v>
      </c>
      <c r="K60" s="38"/>
      <c r="L60" s="54"/>
    </row>
    <row r="61" spans="1:12" ht="15.75">
      <c r="A61" s="43">
        <f>+A59+1</f>
        <v>27</v>
      </c>
      <c r="B61" s="1"/>
      <c r="C61" s="57" t="s">
        <v>78</v>
      </c>
      <c r="D61" s="48" t="str">
        <f>+'Attachment H'!$B$2&amp;", Page 2, Line "&amp;'Attachment H'!A93</f>
        <v>Attachment H, Page 2, Line 27</v>
      </c>
      <c r="E61" s="5">
        <f>+'Attachment H'!D93</f>
        <v>0</v>
      </c>
      <c r="F61" s="58"/>
      <c r="G61" s="58" t="s">
        <v>45</v>
      </c>
      <c r="H61" s="56"/>
      <c r="I61" s="58"/>
      <c r="J61" s="50">
        <f>+H61*E61</f>
        <v>0</v>
      </c>
      <c r="K61" s="1"/>
      <c r="L61" s="54"/>
    </row>
    <row r="62" spans="1:12" ht="15.75">
      <c r="A62" s="43">
        <f>+A61+1</f>
        <v>28</v>
      </c>
      <c r="B62" s="1"/>
      <c r="C62" s="57" t="s">
        <v>79</v>
      </c>
      <c r="D62" s="48" t="str">
        <f>+'Attachment H'!$B$2&amp;", Page 2, Line "&amp;'Attachment H'!A94</f>
        <v>Attachment H, Page 2, Line 28</v>
      </c>
      <c r="E62" s="5">
        <f>+'Attachment H'!D94</f>
        <v>0</v>
      </c>
      <c r="F62" s="58"/>
      <c r="G62" s="58" t="s">
        <v>49</v>
      </c>
      <c r="H62" s="56">
        <v>1</v>
      </c>
      <c r="I62" s="58"/>
      <c r="J62" s="5">
        <f>+H62*E62</f>
        <v>0</v>
      </c>
      <c r="K62" s="1"/>
      <c r="L62" s="54"/>
    </row>
    <row r="63" spans="1:12" ht="16.5" thickBot="1">
      <c r="A63" s="43">
        <f>+A62+1</f>
        <v>29</v>
      </c>
      <c r="B63" s="1"/>
      <c r="C63" s="57" t="s">
        <v>80</v>
      </c>
      <c r="D63" s="48" t="str">
        <f>+'Attachment H'!$B$2&amp;", Page 2, Line "&amp;'Attachment H'!A95</f>
        <v>Attachment H, Page 2, Line 29</v>
      </c>
      <c r="E63" s="51">
        <f>+'Attachment H'!D95</f>
        <v>0</v>
      </c>
      <c r="F63" s="58"/>
      <c r="G63" s="58" t="s">
        <v>49</v>
      </c>
      <c r="H63" s="56">
        <v>1</v>
      </c>
      <c r="I63" s="58"/>
      <c r="J63" s="51">
        <f>+H63*E63</f>
        <v>0</v>
      </c>
      <c r="K63" s="1"/>
      <c r="L63" s="54"/>
    </row>
    <row r="64" spans="1:12" ht="15.75">
      <c r="A64" s="43">
        <f>+A63+1</f>
        <v>30</v>
      </c>
      <c r="B64" s="1"/>
      <c r="C64" s="40" t="s">
        <v>81</v>
      </c>
      <c r="D64" s="38" t="s">
        <v>82</v>
      </c>
      <c r="E64" s="5">
        <f>SUM(E55:E63)</f>
        <v>-416086.32432725426</v>
      </c>
      <c r="F64" s="38"/>
      <c r="G64" s="38"/>
      <c r="H64" s="48"/>
      <c r="I64" s="48"/>
      <c r="J64" s="5">
        <f>SUM(J55:J63)</f>
        <v>-416086.32432725426</v>
      </c>
      <c r="K64" s="38"/>
      <c r="L64" s="38"/>
    </row>
    <row r="65" spans="1:12" ht="15.75">
      <c r="A65" s="43"/>
      <c r="B65" s="1"/>
      <c r="C65" s="36"/>
      <c r="D65" s="38"/>
      <c r="E65" s="5"/>
      <c r="F65" s="38"/>
      <c r="G65" s="38"/>
      <c r="H65" s="54"/>
      <c r="I65" s="38"/>
      <c r="J65" s="5"/>
      <c r="K65" s="38"/>
      <c r="L65" s="54"/>
    </row>
    <row r="66" spans="1:12" ht="15.75">
      <c r="A66" s="43">
        <f>+A64+1</f>
        <v>31</v>
      </c>
      <c r="B66" s="1"/>
      <c r="C66" s="52" t="s">
        <v>83</v>
      </c>
      <c r="D66" s="48" t="s">
        <v>84</v>
      </c>
      <c r="E66" s="59"/>
      <c r="F66" s="38"/>
      <c r="G66" s="38" t="s">
        <v>49</v>
      </c>
      <c r="H66" s="25">
        <v>1</v>
      </c>
      <c r="I66" s="48"/>
      <c r="J66" s="5">
        <f>+H66*E66</f>
        <v>0</v>
      </c>
      <c r="K66" s="38"/>
      <c r="L66" s="38"/>
    </row>
    <row r="67" spans="1:12" ht="15.75">
      <c r="A67" s="43"/>
      <c r="B67" s="1"/>
      <c r="C67" s="40"/>
      <c r="D67" s="38"/>
      <c r="E67" s="5"/>
      <c r="F67" s="38"/>
      <c r="G67" s="38"/>
      <c r="H67" s="25"/>
      <c r="I67" s="48"/>
      <c r="J67" s="5"/>
      <c r="K67" s="38"/>
      <c r="L67" s="38"/>
    </row>
    <row r="68" spans="1:12" ht="15.75">
      <c r="A68" s="43">
        <f>+A66+1</f>
        <v>32</v>
      </c>
      <c r="B68" s="1"/>
      <c r="C68" s="40" t="s">
        <v>85</v>
      </c>
      <c r="D68" s="38"/>
      <c r="E68" s="5"/>
      <c r="F68" s="38"/>
      <c r="G68" s="38"/>
      <c r="H68" s="25"/>
      <c r="I68" s="48"/>
      <c r="J68" s="5"/>
      <c r="K68" s="38"/>
      <c r="L68" s="38"/>
    </row>
    <row r="69" spans="1:12" ht="15.75">
      <c r="A69" s="43">
        <f>+A68+1</f>
        <v>33</v>
      </c>
      <c r="B69" s="1"/>
      <c r="C69" s="40" t="s">
        <v>86</v>
      </c>
      <c r="D69" s="36" t="s">
        <v>87</v>
      </c>
      <c r="E69" s="5">
        <f>(E94)/8</f>
        <v>142159.54399835196</v>
      </c>
      <c r="F69" s="38"/>
      <c r="G69" s="38"/>
      <c r="H69" s="25"/>
      <c r="I69" s="48"/>
      <c r="J69" s="5">
        <f>(J94)/8</f>
        <v>142159.54399835196</v>
      </c>
      <c r="K69" s="40"/>
      <c r="L69" s="54"/>
    </row>
    <row r="70" spans="1:12" ht="15.75">
      <c r="A70" s="43">
        <f>+A69+1</f>
        <v>34</v>
      </c>
      <c r="B70" s="1"/>
      <c r="C70" s="40" t="s">
        <v>88</v>
      </c>
      <c r="D70" s="48" t="s">
        <v>89</v>
      </c>
      <c r="E70" s="60">
        <f>H193</f>
        <v>31986.685807405967</v>
      </c>
      <c r="F70" s="38"/>
      <c r="G70" s="38" t="s">
        <v>49</v>
      </c>
      <c r="H70" s="25">
        <v>1</v>
      </c>
      <c r="I70" s="48"/>
      <c r="J70" s="5">
        <f>+H70*E70</f>
        <v>31986.685807405967</v>
      </c>
      <c r="K70" s="38" t="s">
        <v>30</v>
      </c>
      <c r="L70" s="54"/>
    </row>
    <row r="71" spans="1:12" ht="16.5" thickBot="1">
      <c r="A71" s="43">
        <f>+A70+1</f>
        <v>35</v>
      </c>
      <c r="B71" s="1"/>
      <c r="C71" s="40" t="s">
        <v>90</v>
      </c>
      <c r="D71" s="48" t="str">
        <f>+'Attachment H'!$B$2&amp;", Page 2, Line "&amp;'Attachment H'!A103</f>
        <v>Attachment H, Page 2, Line 35</v>
      </c>
      <c r="E71" s="61">
        <f>'4- Rate Base'!$H$24</f>
        <v>23290.381976275585</v>
      </c>
      <c r="F71" s="38"/>
      <c r="G71" s="38" t="s">
        <v>91</v>
      </c>
      <c r="H71" s="25">
        <f>+H36</f>
        <v>1</v>
      </c>
      <c r="I71" s="48"/>
      <c r="J71" s="51">
        <f>+H71*E71</f>
        <v>23290.381976275585</v>
      </c>
      <c r="K71" s="38"/>
      <c r="L71" s="54"/>
    </row>
    <row r="72" spans="1:12" ht="15.75">
      <c r="A72" s="43">
        <f>+A71+1</f>
        <v>36</v>
      </c>
      <c r="B72" s="1"/>
      <c r="C72" s="40" t="s">
        <v>92</v>
      </c>
      <c r="D72" s="40" t="s">
        <v>93</v>
      </c>
      <c r="E72" s="5">
        <f>SUM(E69:E71)</f>
        <v>197436.61178203352</v>
      </c>
      <c r="F72" s="40"/>
      <c r="G72" s="40"/>
      <c r="H72" s="62"/>
      <c r="I72" s="62"/>
      <c r="J72" s="50">
        <f>J69+J70+J71</f>
        <v>197436.61178203352</v>
      </c>
      <c r="K72" s="40"/>
      <c r="L72" s="40"/>
    </row>
    <row r="73" spans="1:12" ht="16.5" thickBot="1">
      <c r="A73" s="43"/>
      <c r="B73" s="1"/>
      <c r="C73" s="36"/>
      <c r="D73" s="38"/>
      <c r="E73" s="51"/>
      <c r="F73" s="38"/>
      <c r="G73" s="38"/>
      <c r="H73" s="38"/>
      <c r="I73" s="38"/>
      <c r="J73" s="51"/>
      <c r="K73" s="38"/>
      <c r="L73" s="38"/>
    </row>
    <row r="74" spans="1:12" ht="16.5" thickBot="1">
      <c r="A74" s="43">
        <f>+A72+1</f>
        <v>37</v>
      </c>
      <c r="B74" s="1"/>
      <c r="C74" s="40" t="s">
        <v>94</v>
      </c>
      <c r="D74" s="38" t="s">
        <v>95</v>
      </c>
      <c r="E74" s="63">
        <f>+E72+E66+E64+E52</f>
        <v>9720071.9700602964</v>
      </c>
      <c r="F74" s="48"/>
      <c r="G74" s="48"/>
      <c r="H74" s="64"/>
      <c r="I74" s="48"/>
      <c r="J74" s="63">
        <f>+J72+J66+J64+J52</f>
        <v>9720071.9700602964</v>
      </c>
      <c r="K74" s="38"/>
      <c r="L74" s="54"/>
    </row>
    <row r="75" spans="1:12" ht="16.5" thickTop="1">
      <c r="A75" s="43"/>
      <c r="B75" s="1"/>
      <c r="C75" s="40"/>
      <c r="D75" s="38"/>
      <c r="E75" s="48"/>
      <c r="F75" s="48"/>
      <c r="G75" s="48"/>
      <c r="H75" s="64"/>
      <c r="I75" s="48"/>
      <c r="J75" s="48"/>
      <c r="K75" s="38"/>
      <c r="L75" s="54"/>
    </row>
    <row r="76" spans="1:12" ht="15.75">
      <c r="A76" s="43"/>
      <c r="B76" s="1"/>
      <c r="C76" s="40"/>
      <c r="D76" s="38"/>
      <c r="E76" s="48"/>
      <c r="F76" s="48"/>
      <c r="G76" s="48"/>
      <c r="H76" s="64"/>
      <c r="I76" s="48"/>
      <c r="J76" s="48"/>
      <c r="K76" s="38"/>
      <c r="L76" s="54"/>
    </row>
    <row r="77" spans="1:15" ht="24" customHeight="1">
      <c r="A77" s="43"/>
      <c r="B77" s="1"/>
      <c r="C77" s="40"/>
      <c r="D77" s="38"/>
      <c r="E77" s="38"/>
      <c r="F77" s="38"/>
      <c r="G77" s="38"/>
      <c r="H77" s="38"/>
      <c r="I77" s="38"/>
      <c r="J77" s="38"/>
      <c r="K77" s="38"/>
      <c r="O77" s="65" t="s">
        <v>96</v>
      </c>
    </row>
    <row r="78" spans="1:12" ht="15.75">
      <c r="A78" s="43"/>
      <c r="B78" s="1"/>
      <c r="C78" s="40"/>
      <c r="D78" s="38"/>
      <c r="E78" s="38"/>
      <c r="F78" s="38"/>
      <c r="G78" s="38"/>
      <c r="H78" s="38"/>
      <c r="I78" s="38"/>
      <c r="J78" s="38"/>
      <c r="K78" s="38"/>
      <c r="L78" s="65"/>
    </row>
    <row r="79" spans="1:12" ht="15.75">
      <c r="A79" s="43"/>
      <c r="B79" s="1"/>
      <c r="C79" s="40" t="s">
        <v>97</v>
      </c>
      <c r="D79" s="38"/>
      <c r="E79" s="66"/>
      <c r="F79" s="38"/>
      <c r="G79" s="4" t="s">
        <v>24</v>
      </c>
      <c r="H79" s="38"/>
      <c r="I79" s="38"/>
      <c r="J79" s="62"/>
      <c r="K79" s="38"/>
      <c r="L79" s="65"/>
    </row>
    <row r="80" spans="1:12" ht="15.75">
      <c r="A80" s="43"/>
      <c r="B80" s="1"/>
      <c r="C80" s="40"/>
      <c r="D80" s="38"/>
      <c r="E80" s="66"/>
      <c r="F80" s="38"/>
      <c r="G80" s="4" t="s">
        <v>2</v>
      </c>
      <c r="H80" s="38"/>
      <c r="I80" s="38"/>
      <c r="J80" s="38"/>
      <c r="K80" s="38"/>
      <c r="L80" s="38"/>
    </row>
    <row r="81" spans="1:12" ht="15.75">
      <c r="A81" s="43"/>
      <c r="B81" s="1"/>
      <c r="C81" s="36"/>
      <c r="D81" s="38"/>
      <c r="E81" s="66"/>
      <c r="F81" s="38"/>
      <c r="G81" s="4" t="s">
        <v>26</v>
      </c>
      <c r="H81" s="38"/>
      <c r="I81" s="38"/>
      <c r="J81" s="38"/>
      <c r="K81" s="38"/>
      <c r="L81" s="38"/>
    </row>
    <row r="82" spans="1:12" ht="15.75">
      <c r="A82" s="67"/>
      <c r="B82" s="1"/>
      <c r="C82" s="67"/>
      <c r="D82" s="67"/>
      <c r="E82" s="67"/>
      <c r="F82" s="67"/>
      <c r="G82" s="67"/>
      <c r="H82" s="67"/>
      <c r="I82" s="67"/>
      <c r="J82" s="67"/>
      <c r="K82" s="67"/>
      <c r="L82" s="67"/>
    </row>
    <row r="83" spans="1:12" ht="15.75">
      <c r="A83" s="43"/>
      <c r="B83" s="1"/>
      <c r="C83" s="37" t="s">
        <v>27</v>
      </c>
      <c r="D83" s="37" t="s">
        <v>28</v>
      </c>
      <c r="E83" s="37" t="s">
        <v>29</v>
      </c>
      <c r="F83" s="38" t="s">
        <v>30</v>
      </c>
      <c r="G83" s="38"/>
      <c r="H83" s="39" t="s">
        <v>31</v>
      </c>
      <c r="I83" s="38"/>
      <c r="J83" s="39" t="s">
        <v>32</v>
      </c>
      <c r="K83" s="38"/>
      <c r="L83" s="38"/>
    </row>
    <row r="84" spans="1:12" ht="15.75">
      <c r="A84" s="43" t="s">
        <v>35</v>
      </c>
      <c r="B84" s="1"/>
      <c r="C84" s="40"/>
      <c r="D84" s="41"/>
      <c r="E84" s="38"/>
      <c r="F84" s="38"/>
      <c r="G84" s="38"/>
      <c r="H84" s="43"/>
      <c r="I84" s="38"/>
      <c r="J84" s="42" t="s">
        <v>34</v>
      </c>
      <c r="K84" s="38"/>
      <c r="L84" s="42"/>
    </row>
    <row r="85" spans="1:12" ht="16.5" thickBot="1">
      <c r="A85" s="46" t="s">
        <v>40</v>
      </c>
      <c r="B85" s="1"/>
      <c r="C85" s="40"/>
      <c r="D85" s="44" t="s">
        <v>36</v>
      </c>
      <c r="E85" s="42" t="s">
        <v>37</v>
      </c>
      <c r="F85" s="45"/>
      <c r="G85" s="42" t="s">
        <v>33</v>
      </c>
      <c r="H85" s="36"/>
      <c r="I85" s="45"/>
      <c r="J85" s="43" t="s">
        <v>39</v>
      </c>
      <c r="K85" s="38"/>
      <c r="L85" s="42"/>
    </row>
    <row r="86" spans="1:12" ht="15.75">
      <c r="A86" s="43"/>
      <c r="B86" s="1"/>
      <c r="C86" s="40" t="s">
        <v>98</v>
      </c>
      <c r="D86" s="38"/>
      <c r="E86" s="38"/>
      <c r="F86" s="38"/>
      <c r="G86" s="38"/>
      <c r="H86" s="38"/>
      <c r="I86" s="38"/>
      <c r="J86" s="38"/>
      <c r="K86" s="38"/>
      <c r="L86" s="38"/>
    </row>
    <row r="87" spans="1:12" ht="15.75">
      <c r="A87" s="43">
        <v>1</v>
      </c>
      <c r="B87" s="1"/>
      <c r="C87" s="40" t="s">
        <v>99</v>
      </c>
      <c r="D87" s="68" t="s">
        <v>100</v>
      </c>
      <c r="E87" s="59">
        <f>'5-P3 Support'!C24</f>
        <v>311660.52209576289</v>
      </c>
      <c r="F87" s="38"/>
      <c r="G87" s="38" t="s">
        <v>49</v>
      </c>
      <c r="H87" s="25">
        <v>1</v>
      </c>
      <c r="I87" s="48"/>
      <c r="J87" s="50">
        <f t="shared" si="5" ref="J87:J93">+H87*E87</f>
        <v>311660.52209576289</v>
      </c>
      <c r="K87" s="40"/>
      <c r="L87" s="38"/>
    </row>
    <row r="88" spans="1:12" ht="15.75">
      <c r="A88" s="69">
        <f>+A87+1</f>
        <v>2</v>
      </c>
      <c r="B88" s="1"/>
      <c r="C88" s="40" t="s">
        <v>101</v>
      </c>
      <c r="D88" s="48" t="str">
        <f>+'Attachment H'!$B$2&amp;", Page 3, Line "&amp;'Attachment H'!A122</f>
        <v>Attachment H, Page 3, Line 4</v>
      </c>
      <c r="E88" s="5">
        <f>+'Attachment H'!D122</f>
        <v>825615.82989105291</v>
      </c>
      <c r="F88" s="38"/>
      <c r="G88" s="38" t="s">
        <v>51</v>
      </c>
      <c r="H88" s="25">
        <f>+H42</f>
        <v>1</v>
      </c>
      <c r="I88" s="48"/>
      <c r="J88" s="5">
        <f t="shared" si="5"/>
        <v>825615.82989105291</v>
      </c>
      <c r="K88" s="38"/>
      <c r="L88" s="38" t="s">
        <v>30</v>
      </c>
    </row>
    <row r="89" spans="1:12" ht="15.75">
      <c r="A89" s="69">
        <f t="shared" si="6" ref="A89:A127">+A88+1</f>
        <v>3</v>
      </c>
      <c r="B89" s="1"/>
      <c r="C89" s="40" t="s">
        <v>102</v>
      </c>
      <c r="D89" s="48" t="str">
        <f>+'Attachment H'!$B$2&amp;", Page 3, Line "&amp;'Attachment H'!A123</f>
        <v>Attachment H, Page 3, Line 5</v>
      </c>
      <c r="E89" s="5">
        <f>+'Attachment H'!D123</f>
        <v>0</v>
      </c>
      <c r="F89" s="38"/>
      <c r="G89" s="38" t="s">
        <v>51</v>
      </c>
      <c r="H89" s="25">
        <f>+H88</f>
        <v>1</v>
      </c>
      <c r="I89" s="48"/>
      <c r="J89" s="5">
        <f t="shared" si="5"/>
        <v>0</v>
      </c>
      <c r="K89" s="38"/>
      <c r="L89" s="38"/>
    </row>
    <row r="90" spans="1:12" ht="15.75">
      <c r="A90" s="69">
        <f t="shared" si="6"/>
        <v>4</v>
      </c>
      <c r="B90" s="1"/>
      <c r="C90" s="40" t="s">
        <v>103</v>
      </c>
      <c r="D90" s="48" t="str">
        <f>+'Attachment H'!$B$2&amp;", Page 3, Line "&amp;'Attachment H'!A124</f>
        <v>Attachment H, Page 3, Line 6</v>
      </c>
      <c r="E90" s="5">
        <f>+'Attachment H'!D124</f>
        <v>0</v>
      </c>
      <c r="F90" s="38"/>
      <c r="G90" s="38" t="s">
        <v>51</v>
      </c>
      <c r="H90" s="25">
        <f>+H89</f>
        <v>1</v>
      </c>
      <c r="I90" s="48"/>
      <c r="J90" s="5">
        <f t="shared" si="5"/>
        <v>0</v>
      </c>
      <c r="K90" s="38"/>
      <c r="L90" s="38"/>
    </row>
    <row r="91" spans="1:12" ht="15.75">
      <c r="A91" s="69">
        <f t="shared" si="6"/>
        <v>5</v>
      </c>
      <c r="B91" s="1"/>
      <c r="C91" s="40" t="s">
        <v>104</v>
      </c>
      <c r="D91" s="48" t="str">
        <f>+'Attachment H'!$B$2&amp;", Page 3, Line "&amp;'Attachment H'!A125</f>
        <v>Attachment H, Page 3, Line 6a</v>
      </c>
      <c r="E91" s="5">
        <f>+'Attachment H'!D125</f>
        <v>0</v>
      </c>
      <c r="F91" s="70"/>
      <c r="G91" s="38" t="s">
        <v>51</v>
      </c>
      <c r="H91" s="25">
        <f>+H90</f>
        <v>1</v>
      </c>
      <c r="I91" s="48"/>
      <c r="J91" s="5">
        <f t="shared" si="5"/>
        <v>0</v>
      </c>
      <c r="K91" s="70"/>
      <c r="L91" s="70"/>
    </row>
    <row r="92" spans="1:12" ht="15.75">
      <c r="A92" s="69">
        <f>+A91+1</f>
        <v>6</v>
      </c>
      <c r="B92" s="1"/>
      <c r="C92" s="40" t="s">
        <v>105</v>
      </c>
      <c r="D92" s="48" t="str">
        <f>+'Attachment H'!$B$2&amp;", Page 3, Line "&amp;'Attachment H'!A127</f>
        <v>Attachment H, Page 3, Line 7a</v>
      </c>
      <c r="E92" s="5">
        <f>+'Attachment H'!D127</f>
        <v>0</v>
      </c>
      <c r="F92" s="70"/>
      <c r="G92" s="38" t="s">
        <v>51</v>
      </c>
      <c r="H92" s="25">
        <f>+H91</f>
        <v>1</v>
      </c>
      <c r="I92" s="48"/>
      <c r="J92" s="5">
        <f t="shared" si="5"/>
        <v>0</v>
      </c>
      <c r="K92" s="70"/>
      <c r="L92" s="70"/>
    </row>
    <row r="93" spans="1:12" ht="15.75">
      <c r="A93" s="69">
        <f t="shared" si="6"/>
        <v>7</v>
      </c>
      <c r="B93" s="1"/>
      <c r="C93" s="40" t="s">
        <v>52</v>
      </c>
      <c r="D93" s="48" t="str">
        <f>+'Attachment H'!$B$2&amp;", Page 3, Line "&amp;'Attachment H'!A128</f>
        <v>Attachment H, Page 3, Line 8</v>
      </c>
      <c r="E93" s="5">
        <f>+'Attachment H'!D128</f>
        <v>0</v>
      </c>
      <c r="F93" s="38"/>
      <c r="G93" s="38" t="s">
        <v>53</v>
      </c>
      <c r="H93" s="25">
        <f>+H43</f>
        <v>0</v>
      </c>
      <c r="I93" s="48"/>
      <c r="J93" s="5">
        <f t="shared" si="5"/>
        <v>0</v>
      </c>
      <c r="K93" s="38"/>
      <c r="L93" s="38"/>
    </row>
    <row r="94" spans="1:12" ht="15.75">
      <c r="A94" s="69">
        <f t="shared" si="6"/>
        <v>8</v>
      </c>
      <c r="B94" s="1"/>
      <c r="C94" s="71" t="s">
        <v>106</v>
      </c>
      <c r="D94" s="72" t="s">
        <v>107</v>
      </c>
      <c r="E94" s="5">
        <f>+E87+E88-E89-E90-E91+E92+E93</f>
        <v>1137276.3519868157</v>
      </c>
      <c r="F94" s="5"/>
      <c r="G94" s="5"/>
      <c r="H94" s="5"/>
      <c r="I94" s="5"/>
      <c r="J94" s="50">
        <f>+J87+J88-J89-J90-J91+J92+J93</f>
        <v>1137276.3519868157</v>
      </c>
      <c r="K94" s="38"/>
      <c r="L94" s="38"/>
    </row>
    <row r="95" spans="1:12" ht="15.75">
      <c r="A95" s="69"/>
      <c r="B95" s="1"/>
      <c r="C95" s="36"/>
      <c r="D95" s="38"/>
      <c r="E95" s="5"/>
      <c r="F95" s="5"/>
      <c r="G95" s="5"/>
      <c r="H95" s="5"/>
      <c r="I95" s="5"/>
      <c r="J95" s="5"/>
      <c r="K95" s="38"/>
      <c r="L95" s="38"/>
    </row>
    <row r="96" spans="1:12" ht="15.75">
      <c r="A96" s="69">
        <f>+A94+1</f>
        <v>9</v>
      </c>
      <c r="B96" s="1"/>
      <c r="C96" s="40" t="s">
        <v>108</v>
      </c>
      <c r="D96" s="38"/>
      <c r="E96" s="5"/>
      <c r="F96" s="5"/>
      <c r="G96" s="5"/>
      <c r="H96" s="5"/>
      <c r="I96" s="5"/>
      <c r="J96" s="5"/>
      <c r="K96" s="38"/>
      <c r="L96" s="38"/>
    </row>
    <row r="97" spans="1:12" ht="15.75">
      <c r="A97" s="69">
        <f t="shared" si="6"/>
        <v>10</v>
      </c>
      <c r="B97" s="1"/>
      <c r="C97" s="40" t="s">
        <v>99</v>
      </c>
      <c r="D97" s="74" t="s">
        <v>109</v>
      </c>
      <c r="E97" s="59">
        <v>298192.97999999486</v>
      </c>
      <c r="F97" s="5"/>
      <c r="G97" s="38" t="s">
        <v>110</v>
      </c>
      <c r="H97" s="25">
        <f>+H66</f>
        <v>1</v>
      </c>
      <c r="I97" s="5"/>
      <c r="J97" s="5">
        <f>+H97*E97</f>
        <v>298192.97999999486</v>
      </c>
      <c r="K97" s="38"/>
      <c r="L97" s="54"/>
    </row>
    <row r="98" spans="1:12" ht="15.75">
      <c r="A98" s="69">
        <f t="shared" si="6"/>
        <v>11</v>
      </c>
      <c r="B98" s="1"/>
      <c r="C98" s="75" t="s">
        <v>50</v>
      </c>
      <c r="D98" s="48" t="str">
        <f>+'Attachment H'!$B$2&amp;", Page 3, Line "&amp;'Attachment H'!A138</f>
        <v>Attachment H, Page 3, Line 17</v>
      </c>
      <c r="E98" s="5">
        <f>+'Attachment H'!D138</f>
        <v>0</v>
      </c>
      <c r="F98" s="5"/>
      <c r="G98" s="5" t="s">
        <v>51</v>
      </c>
      <c r="H98" s="5">
        <f>+H88</f>
        <v>1</v>
      </c>
      <c r="I98" s="5"/>
      <c r="J98" s="5">
        <f>+H98*E98</f>
        <v>0</v>
      </c>
      <c r="K98" s="38"/>
      <c r="L98" s="54"/>
    </row>
    <row r="99" spans="1:12" ht="15.75">
      <c r="A99" s="69">
        <f t="shared" si="6"/>
        <v>12</v>
      </c>
      <c r="B99" s="1"/>
      <c r="C99" s="40" t="s">
        <v>52</v>
      </c>
      <c r="D99" s="48" t="str">
        <f>+'Attachment H'!$B$2&amp;", Page 3, Line "&amp;'Attachment H'!A139</f>
        <v>Attachment H, Page 3, Line 18</v>
      </c>
      <c r="E99" s="5">
        <f>+'Attachment H'!D139</f>
        <v>0</v>
      </c>
      <c r="F99" s="5"/>
      <c r="G99" s="5" t="s">
        <v>53</v>
      </c>
      <c r="H99" s="5">
        <f>+H93</f>
        <v>0</v>
      </c>
      <c r="I99" s="5"/>
      <c r="J99" s="5">
        <f>+H99*E99</f>
        <v>0</v>
      </c>
      <c r="K99" s="38"/>
      <c r="L99" s="54"/>
    </row>
    <row r="100" spans="1:12" ht="15.75">
      <c r="A100" s="69">
        <f t="shared" si="6"/>
        <v>13</v>
      </c>
      <c r="B100" s="1"/>
      <c r="C100" s="40" t="s">
        <v>111</v>
      </c>
      <c r="D100" s="38" t="s">
        <v>112</v>
      </c>
      <c r="E100" s="5">
        <f>SUM(E97:E99)</f>
        <v>298192.97999999486</v>
      </c>
      <c r="F100" s="5"/>
      <c r="G100" s="5"/>
      <c r="H100" s="5"/>
      <c r="I100" s="5"/>
      <c r="J100" s="50">
        <f>SUM(J97:J99)</f>
        <v>298192.97999999486</v>
      </c>
      <c r="K100" s="38"/>
      <c r="L100" s="38"/>
    </row>
    <row r="101" spans="1:12" ht="15.75">
      <c r="A101" s="69"/>
      <c r="B101" s="1"/>
      <c r="C101" s="40"/>
      <c r="D101" s="38"/>
      <c r="E101" s="5"/>
      <c r="F101" s="5"/>
      <c r="G101" s="5"/>
      <c r="H101" s="5"/>
      <c r="I101" s="5"/>
      <c r="J101" s="5"/>
      <c r="K101" s="38"/>
      <c r="L101" s="38"/>
    </row>
    <row r="102" spans="1:12" ht="15.75">
      <c r="A102" s="69">
        <f>+A100+1</f>
        <v>14</v>
      </c>
      <c r="B102" s="1"/>
      <c r="C102" s="40" t="s">
        <v>113</v>
      </c>
      <c r="D102" s="36"/>
      <c r="E102" s="5"/>
      <c r="F102" s="5"/>
      <c r="G102" s="5"/>
      <c r="H102" s="5"/>
      <c r="I102" s="5"/>
      <c r="J102" s="5"/>
      <c r="K102" s="38"/>
      <c r="L102" s="38"/>
    </row>
    <row r="103" spans="1:12" ht="15.75">
      <c r="A103" s="69">
        <f t="shared" si="6"/>
        <v>15</v>
      </c>
      <c r="B103" s="1"/>
      <c r="C103" s="40" t="s">
        <v>114</v>
      </c>
      <c r="D103" s="36"/>
      <c r="E103" s="5"/>
      <c r="F103" s="5"/>
      <c r="G103" s="5"/>
      <c r="H103" s="5"/>
      <c r="I103" s="5"/>
      <c r="J103" s="5"/>
      <c r="K103" s="38"/>
      <c r="L103" s="54"/>
    </row>
    <row r="104" spans="1:12" ht="15.75">
      <c r="A104" s="69">
        <f t="shared" si="6"/>
        <v>16</v>
      </c>
      <c r="B104" s="1"/>
      <c r="C104" s="40" t="s">
        <v>115</v>
      </c>
      <c r="D104" s="48" t="str">
        <f>+'Attachment H'!$B$2&amp;", Page 3, Line "&amp;'Attachment H'!A145</f>
        <v>Attachment H, Page 3, Line 23</v>
      </c>
      <c r="E104" s="5">
        <f>+'Attachment H'!D145</f>
        <v>0</v>
      </c>
      <c r="F104" s="5"/>
      <c r="G104" s="5" t="s">
        <v>51</v>
      </c>
      <c r="H104" s="5">
        <f>+H98</f>
        <v>1</v>
      </c>
      <c r="I104" s="5"/>
      <c r="J104" s="5">
        <f>+H104*E104</f>
        <v>0</v>
      </c>
      <c r="K104" s="38"/>
      <c r="L104" s="54"/>
    </row>
    <row r="105" spans="1:12" ht="15.75">
      <c r="A105" s="69">
        <f t="shared" si="6"/>
        <v>17</v>
      </c>
      <c r="B105" s="1"/>
      <c r="C105" s="40" t="s">
        <v>116</v>
      </c>
      <c r="D105" s="48" t="str">
        <f>+'Attachment H'!$B$2&amp;", Page 3, Line "&amp;'Attachment H'!A146</f>
        <v>Attachment H, Page 3, Line 24</v>
      </c>
      <c r="E105" s="5">
        <f>+'Attachment H'!D146</f>
        <v>0</v>
      </c>
      <c r="F105" s="5"/>
      <c r="G105" s="5" t="s">
        <v>51</v>
      </c>
      <c r="H105" s="5">
        <f>+H104</f>
        <v>1</v>
      </c>
      <c r="I105" s="5"/>
      <c r="J105" s="5">
        <f>+H105*E105</f>
        <v>0</v>
      </c>
      <c r="K105" s="38"/>
      <c r="L105" s="54"/>
    </row>
    <row r="106" spans="1:12" ht="15.75">
      <c r="A106" s="69">
        <f t="shared" si="6"/>
        <v>18</v>
      </c>
      <c r="B106" s="1"/>
      <c r="C106" s="40" t="s">
        <v>117</v>
      </c>
      <c r="D106" s="38" t="s">
        <v>30</v>
      </c>
      <c r="E106" s="5"/>
      <c r="F106" s="5"/>
      <c r="G106" s="5"/>
      <c r="H106" s="5"/>
      <c r="I106" s="5"/>
      <c r="J106" s="5"/>
      <c r="K106" s="38"/>
      <c r="L106" s="54"/>
    </row>
    <row r="107" spans="1:12" ht="15.75">
      <c r="A107" s="69">
        <f t="shared" si="6"/>
        <v>19</v>
      </c>
      <c r="B107" s="1"/>
      <c r="C107" s="40" t="s">
        <v>118</v>
      </c>
      <c r="D107" s="48" t="str">
        <f>+'Attachment H'!$B$2&amp;", Page 3, Line "&amp;'Attachment H'!A148</f>
        <v>Attachment H, Page 3, Line 26</v>
      </c>
      <c r="E107" s="5">
        <f>+'Attachment H'!D148</f>
        <v>158989.5937662675</v>
      </c>
      <c r="F107" s="5"/>
      <c r="G107" s="5" t="s">
        <v>91</v>
      </c>
      <c r="H107" s="5">
        <f>+H36</f>
        <v>1</v>
      </c>
      <c r="I107" s="5"/>
      <c r="J107" s="5">
        <f>+H107*E107</f>
        <v>158989.5937662675</v>
      </c>
      <c r="K107" s="38"/>
      <c r="L107" s="54"/>
    </row>
    <row r="108" spans="1:12" ht="15.75">
      <c r="A108" s="69">
        <f t="shared" si="6"/>
        <v>20</v>
      </c>
      <c r="B108" s="1"/>
      <c r="C108" s="40" t="s">
        <v>119</v>
      </c>
      <c r="D108" s="48" t="str">
        <f>+'Attachment H'!$B$2&amp;", Page 3, Line "&amp;'Attachment H'!A149</f>
        <v>Attachment H, Page 3, Line 27</v>
      </c>
      <c r="E108" s="5">
        <f>+'Attachment H'!D149</f>
        <v>0</v>
      </c>
      <c r="F108" s="5"/>
      <c r="G108" s="5" t="s">
        <v>45</v>
      </c>
      <c r="H108" s="76" t="s">
        <v>69</v>
      </c>
      <c r="I108" s="5"/>
      <c r="J108" s="5">
        <v>0</v>
      </c>
      <c r="K108" s="38"/>
      <c r="L108" s="54"/>
    </row>
    <row r="109" spans="1:12" ht="15.75">
      <c r="A109" s="69">
        <f t="shared" si="6"/>
        <v>21</v>
      </c>
      <c r="B109" s="1"/>
      <c r="C109" s="40" t="s">
        <v>120</v>
      </c>
      <c r="D109" s="48" t="str">
        <f>+'Attachment H'!$B$2&amp;", Page 3, Line "&amp;'Attachment H'!A150</f>
        <v>Attachment H, Page 3, Line 28</v>
      </c>
      <c r="E109" s="5">
        <f>+'Attachment H'!D150</f>
        <v>0</v>
      </c>
      <c r="F109" s="5"/>
      <c r="G109" s="5" t="s">
        <v>91</v>
      </c>
      <c r="H109" s="5">
        <f>+H107</f>
        <v>1</v>
      </c>
      <c r="I109" s="5"/>
      <c r="J109" s="5">
        <f>+H109*E109</f>
        <v>0</v>
      </c>
      <c r="K109" s="38"/>
      <c r="L109" s="54"/>
    </row>
    <row r="110" spans="1:12" ht="16.5" thickBot="1">
      <c r="A110" s="69">
        <f t="shared" si="6"/>
        <v>22</v>
      </c>
      <c r="B110" s="1"/>
      <c r="C110" s="40" t="s">
        <v>121</v>
      </c>
      <c r="D110" s="48" t="str">
        <f>+'Attachment H'!$B$2&amp;", Page 3, Line "&amp;'Attachment H'!A151</f>
        <v>Attachment H, Page 3, Line 29</v>
      </c>
      <c r="E110" s="5">
        <f>+'Attachment H'!D151</f>
        <v>0</v>
      </c>
      <c r="F110" s="5"/>
      <c r="G110" s="5" t="s">
        <v>91</v>
      </c>
      <c r="H110" s="5">
        <f>+H107</f>
        <v>1</v>
      </c>
      <c r="I110" s="5"/>
      <c r="J110" s="51">
        <f>+H110*E110</f>
        <v>0</v>
      </c>
      <c r="K110" s="38"/>
      <c r="L110" s="54"/>
    </row>
    <row r="111" spans="1:12" ht="15.75">
      <c r="A111" s="69">
        <f t="shared" si="6"/>
        <v>23</v>
      </c>
      <c r="B111" s="1"/>
      <c r="C111" s="40" t="s">
        <v>122</v>
      </c>
      <c r="D111" s="38" t="s">
        <v>123</v>
      </c>
      <c r="E111" s="5">
        <f>SUM(E104:E110)</f>
        <v>158989.5937662675</v>
      </c>
      <c r="F111" s="5"/>
      <c r="G111" s="5"/>
      <c r="H111" s="5"/>
      <c r="I111" s="5"/>
      <c r="J111" s="50">
        <f>SUM(J104:J110)</f>
        <v>158989.5937662675</v>
      </c>
      <c r="K111" s="38"/>
      <c r="L111" s="38"/>
    </row>
    <row r="112" spans="1:12" ht="15.75">
      <c r="A112" s="69"/>
      <c r="B112" s="1"/>
      <c r="C112" s="40"/>
      <c r="D112" s="38"/>
      <c r="E112" s="38"/>
      <c r="F112" s="38"/>
      <c r="G112" s="38"/>
      <c r="H112" s="77"/>
      <c r="I112" s="38"/>
      <c r="J112" s="38"/>
      <c r="K112" s="38"/>
      <c r="L112" s="38"/>
    </row>
    <row r="113" spans="1:12" ht="15.75">
      <c r="A113" s="69">
        <f>+A111+1</f>
        <v>24</v>
      </c>
      <c r="B113" s="1"/>
      <c r="C113" s="40" t="s">
        <v>124</v>
      </c>
      <c r="D113" s="48"/>
      <c r="E113" s="38"/>
      <c r="F113" s="38"/>
      <c r="G113" s="36"/>
      <c r="H113" s="78"/>
      <c r="I113" s="38"/>
      <c r="J113" s="36"/>
      <c r="K113" s="38"/>
      <c r="L113" s="36"/>
    </row>
    <row r="114" spans="1:12" ht="15.75">
      <c r="A114" s="69">
        <f t="shared" si="6"/>
        <v>25</v>
      </c>
      <c r="B114" s="1"/>
      <c r="C114" s="79" t="s">
        <v>125</v>
      </c>
      <c r="D114" s="48" t="str">
        <f>+'Attachment H'!$B$2&amp;", Page 3, Line "&amp;'Attachment H'!A155</f>
        <v>Attachment H, Page 3, Line 32</v>
      </c>
      <c r="E114" s="80">
        <f>+'Attachment H'!D155</f>
        <v>0.14094047754659902</v>
      </c>
      <c r="F114" s="38"/>
      <c r="G114" s="36"/>
      <c r="H114" s="78"/>
      <c r="I114" s="38"/>
      <c r="J114" s="36"/>
      <c r="K114" s="38"/>
      <c r="L114" s="36"/>
    </row>
    <row r="115" spans="1:12" ht="15.75">
      <c r="A115" s="69">
        <f>+A114+1</f>
        <v>26</v>
      </c>
      <c r="B115" s="1"/>
      <c r="C115" s="79" t="str">
        <f>"      1 / (1 - T) =      (T from line "&amp;A114&amp;")"</f>
        <v xml:space="preserve">      1 / (1 - T) =      (T from line 25)</v>
      </c>
      <c r="D115" s="48" t="str">
        <f>+'Attachment H'!$B$2&amp;", Page 3, Line "&amp;'Attachment H'!A157</f>
        <v>Attachment H, Page 3, Line 34</v>
      </c>
      <c r="E115" s="80">
        <f>+'Attachment H'!D157</f>
        <v>1.1640636927509806</v>
      </c>
      <c r="F115" s="38"/>
      <c r="G115" s="36"/>
      <c r="H115" s="78"/>
      <c r="I115" s="38"/>
      <c r="J115" s="5"/>
      <c r="K115" s="38"/>
      <c r="L115" s="36"/>
    </row>
    <row r="116" spans="1:12" ht="15.75">
      <c r="A116" s="69"/>
      <c r="B116" s="1"/>
      <c r="C116" s="79"/>
      <c r="D116" s="38"/>
      <c r="E116" s="81"/>
      <c r="F116" s="38"/>
      <c r="G116" s="36"/>
      <c r="H116" s="78"/>
      <c r="I116" s="38"/>
      <c r="J116" s="5"/>
      <c r="K116" s="38"/>
      <c r="L116" s="36"/>
    </row>
    <row r="117" spans="1:30" s="87" customFormat="1" ht="15.75">
      <c r="A117" s="69">
        <f>+A115+1</f>
        <v>27</v>
      </c>
      <c r="B117" s="82"/>
      <c r="C117" s="40" t="s">
        <v>126</v>
      </c>
      <c r="D117" s="48" t="str">
        <f>+'Attachment H'!$B$2&amp;", Page 3, Line "&amp;'Attachment H'!A158</f>
        <v>Attachment H, Page 3, Line 35</v>
      </c>
      <c r="E117" s="76">
        <f>+'Attachment H'!D158</f>
        <v>0</v>
      </c>
      <c r="F117" s="83"/>
      <c r="G117" s="84"/>
      <c r="H117" s="85"/>
      <c r="I117" s="83"/>
      <c r="J117" s="86"/>
      <c r="K117" s="83"/>
      <c r="L117" s="84"/>
      <c r="R117"/>
      <c r="S117"/>
      <c r="T117"/>
      <c r="U117"/>
      <c r="V117"/>
      <c r="W117"/>
      <c r="X117"/>
      <c r="Y117"/>
      <c r="Z117"/>
      <c r="AA117"/>
      <c r="AB117"/>
      <c r="AC117"/>
      <c r="AD117"/>
    </row>
    <row r="118" spans="1:12" ht="15.75">
      <c r="A118" s="69">
        <f t="shared" si="6"/>
        <v>28</v>
      </c>
      <c r="B118" s="1"/>
      <c r="C118" s="40" t="s">
        <v>127</v>
      </c>
      <c r="D118" s="48" t="str">
        <f>+'Attachment H'!$B$2&amp;", Page 3, Line "&amp;'Attachment H'!A159</f>
        <v>Attachment H, Page 3, Line 36</v>
      </c>
      <c r="E118" s="76">
        <f>+'Attachment H'!D159</f>
        <v>-1230</v>
      </c>
      <c r="F118" s="38"/>
      <c r="G118" s="36"/>
      <c r="H118" s="5"/>
      <c r="I118" s="38"/>
      <c r="J118" s="5"/>
      <c r="K118" s="38"/>
      <c r="L118" s="36"/>
    </row>
    <row r="119" spans="1:12" ht="15.75">
      <c r="A119" s="69">
        <f t="shared" si="6"/>
        <v>29</v>
      </c>
      <c r="B119" s="1"/>
      <c r="C119" s="40" t="s">
        <v>128</v>
      </c>
      <c r="D119" s="48" t="str">
        <f>+'Attachment H'!$B$2&amp;", Page 3, Line "&amp;'Attachment H'!A160</f>
        <v>Attachment H, Page 3, Line 37</v>
      </c>
      <c r="E119" s="76">
        <f>+'Attachment H'!D160</f>
        <v>99.789562906907705</v>
      </c>
      <c r="F119" s="38"/>
      <c r="G119" s="36"/>
      <c r="H119" s="78"/>
      <c r="I119" s="38"/>
      <c r="J119" s="5"/>
      <c r="K119" s="38"/>
      <c r="L119" s="36"/>
    </row>
    <row r="120" spans="1:12" ht="15.75">
      <c r="A120" s="69">
        <f t="shared" si="6"/>
        <v>30</v>
      </c>
      <c r="B120" s="1"/>
      <c r="C120" s="79" t="s">
        <v>129</v>
      </c>
      <c r="D120" s="88" t="s">
        <v>130</v>
      </c>
      <c r="E120" s="76">
        <f>+(E114/(1-E114)*(J161+J162))*J74</f>
        <v>93769.000991347479</v>
      </c>
      <c r="F120" s="48"/>
      <c r="G120" s="48" t="s">
        <v>45</v>
      </c>
      <c r="H120" s="89"/>
      <c r="I120" s="48"/>
      <c r="J120" s="76">
        <f>+E120</f>
        <v>93769.000991347479</v>
      </c>
      <c r="K120" s="38"/>
      <c r="L120" s="90" t="s">
        <v>30</v>
      </c>
    </row>
    <row r="121" spans="1:12" ht="15.75">
      <c r="A121" s="69">
        <f t="shared" si="6"/>
        <v>31</v>
      </c>
      <c r="B121" s="1"/>
      <c r="C121" s="36" t="s">
        <v>131</v>
      </c>
      <c r="D121" s="88" t="s">
        <v>132</v>
      </c>
      <c r="E121" s="76">
        <f>+E$115*E117</f>
        <v>0</v>
      </c>
      <c r="F121" s="48"/>
      <c r="G121" s="62" t="s">
        <v>74</v>
      </c>
      <c r="H121" s="25">
        <f>H52</f>
        <v>1</v>
      </c>
      <c r="I121" s="48"/>
      <c r="J121" s="76">
        <f>+H121*E121</f>
        <v>0</v>
      </c>
      <c r="K121" s="38"/>
      <c r="L121" s="90"/>
    </row>
    <row r="122" spans="1:12" ht="15.75">
      <c r="A122" s="69">
        <f t="shared" si="6"/>
        <v>32</v>
      </c>
      <c r="B122" s="1"/>
      <c r="C122" s="36" t="s">
        <v>133</v>
      </c>
      <c r="D122" s="88" t="s">
        <v>134</v>
      </c>
      <c r="E122" s="76">
        <f>+E$115*E118</f>
        <v>-1431.7983420837063</v>
      </c>
      <c r="F122" s="48"/>
      <c r="G122" s="62" t="s">
        <v>74</v>
      </c>
      <c r="H122" s="25">
        <f>H121</f>
        <v>1</v>
      </c>
      <c r="I122" s="48"/>
      <c r="J122" s="76">
        <f>+H122*E122</f>
        <v>-1431.7983420837063</v>
      </c>
      <c r="K122" s="38"/>
      <c r="L122" s="90"/>
    </row>
    <row r="123" spans="1:12" ht="16.5" thickBot="1">
      <c r="A123" s="69">
        <f t="shared" si="6"/>
        <v>33</v>
      </c>
      <c r="B123" s="1"/>
      <c r="C123" s="36" t="s">
        <v>135</v>
      </c>
      <c r="D123" s="88" t="s">
        <v>136</v>
      </c>
      <c r="E123" s="76">
        <f>+'Attachment H'!D164+E119*E115</f>
        <v>232.32281419084254</v>
      </c>
      <c r="F123" s="48"/>
      <c r="G123" s="62" t="s">
        <v>74</v>
      </c>
      <c r="H123" s="25">
        <f>H122</f>
        <v>1</v>
      </c>
      <c r="I123" s="48"/>
      <c r="J123" s="91">
        <f>+H123*E123</f>
        <v>232.32281419084254</v>
      </c>
      <c r="K123" s="38"/>
      <c r="L123" s="90"/>
    </row>
    <row r="124" spans="1:12" ht="15.75">
      <c r="A124" s="69">
        <f t="shared" si="6"/>
        <v>34</v>
      </c>
      <c r="B124" s="1"/>
      <c r="C124" s="92" t="s">
        <v>137</v>
      </c>
      <c r="D124" s="36" t="s">
        <v>138</v>
      </c>
      <c r="E124" s="76">
        <f>SUM(E120:E123)</f>
        <v>92569.525463454615</v>
      </c>
      <c r="F124" s="48"/>
      <c r="G124" s="48" t="s">
        <v>30</v>
      </c>
      <c r="H124" s="89" t="s">
        <v>30</v>
      </c>
      <c r="I124" s="48"/>
      <c r="J124" s="93">
        <f>SUM(J120:J123)</f>
        <v>92569.525463454615</v>
      </c>
      <c r="K124" s="38"/>
      <c r="L124" s="38"/>
    </row>
    <row r="125" spans="1:12" ht="15.75">
      <c r="A125" s="69"/>
      <c r="B125" s="1"/>
      <c r="C125" s="36"/>
      <c r="D125" s="94"/>
      <c r="E125" s="5"/>
      <c r="F125" s="38"/>
      <c r="G125" s="38"/>
      <c r="H125" s="77"/>
      <c r="I125" s="38"/>
      <c r="J125" s="5"/>
      <c r="K125" s="38"/>
      <c r="L125" s="38"/>
    </row>
    <row r="126" spans="1:12" ht="15.75">
      <c r="A126" s="69">
        <f>+A124+1</f>
        <v>35</v>
      </c>
      <c r="B126" s="1"/>
      <c r="C126" s="40" t="s">
        <v>139</v>
      </c>
      <c r="D126" s="1"/>
      <c r="E126" s="1"/>
      <c r="F126" s="1"/>
      <c r="G126" s="1"/>
      <c r="H126" s="1"/>
      <c r="I126" s="1"/>
      <c r="J126" s="1"/>
      <c r="K126" s="38"/>
      <c r="L126" s="36"/>
    </row>
    <row r="127" spans="1:12" ht="15.75">
      <c r="A127" s="69">
        <f t="shared" si="6"/>
        <v>36</v>
      </c>
      <c r="B127" s="1"/>
      <c r="C127" s="92" t="s">
        <v>140</v>
      </c>
      <c r="D127" s="79" t="s">
        <v>141</v>
      </c>
      <c r="E127" s="5">
        <f>+$J163*E74</f>
        <v>667004.54649494507</v>
      </c>
      <c r="F127" s="48"/>
      <c r="G127" s="48" t="s">
        <v>45</v>
      </c>
      <c r="H127" s="95"/>
      <c r="I127" s="48"/>
      <c r="J127" s="50">
        <f>+$J163*J74</f>
        <v>667004.54649494507</v>
      </c>
      <c r="K127" s="1"/>
      <c r="L127" s="54"/>
    </row>
    <row r="128" spans="1:12" ht="15.75">
      <c r="A128" s="69"/>
      <c r="B128" s="1"/>
      <c r="C128" s="40"/>
      <c r="D128" s="36"/>
      <c r="E128" s="5"/>
      <c r="F128" s="48"/>
      <c r="G128" s="48"/>
      <c r="H128" s="95"/>
      <c r="I128" s="48"/>
      <c r="J128" s="5"/>
      <c r="K128" s="38"/>
      <c r="L128" s="54"/>
    </row>
    <row r="129" spans="1:12" ht="16.5" thickBot="1">
      <c r="A129" s="69">
        <f>+A127+1</f>
        <v>37</v>
      </c>
      <c r="B129" s="1"/>
      <c r="C129" s="40" t="s">
        <v>142</v>
      </c>
      <c r="D129" s="38" t="s">
        <v>143</v>
      </c>
      <c r="E129" s="96">
        <f>+E127+E124+E111+E100+E94</f>
        <v>2354032.9977114778</v>
      </c>
      <c r="F129" s="48"/>
      <c r="G129" s="48"/>
      <c r="H129" s="48"/>
      <c r="I129" s="48"/>
      <c r="J129" s="96">
        <f>+J127+J124+J111+J100+J94</f>
        <v>2354032.9977114778</v>
      </c>
      <c r="K129" s="40"/>
      <c r="L129" s="40"/>
    </row>
    <row r="130" spans="1:12" ht="16.5" thickTop="1">
      <c r="A130" s="69"/>
      <c r="B130" s="1"/>
      <c r="C130" s="40"/>
      <c r="D130" s="38"/>
      <c r="E130" s="48"/>
      <c r="F130" s="48"/>
      <c r="G130" s="48"/>
      <c r="H130" s="48"/>
      <c r="I130" s="48"/>
      <c r="J130" s="5"/>
      <c r="K130" s="40"/>
      <c r="L130" s="40"/>
    </row>
    <row r="131" spans="1:12" ht="15.75">
      <c r="A131" s="69"/>
      <c r="B131" s="1"/>
      <c r="C131" s="62"/>
      <c r="D131" s="48"/>
      <c r="E131" s="48"/>
      <c r="F131" s="48"/>
      <c r="G131" s="48"/>
      <c r="H131" s="48"/>
      <c r="I131" s="48"/>
      <c r="J131" s="48"/>
      <c r="K131" s="40"/>
      <c r="L131" s="40"/>
    </row>
    <row r="132" spans="1:15" ht="15.75">
      <c r="A132" s="43"/>
      <c r="B132" s="1"/>
      <c r="C132" s="36"/>
      <c r="D132" s="36"/>
      <c r="E132" s="36"/>
      <c r="F132" s="36"/>
      <c r="G132" s="36"/>
      <c r="H132" s="36"/>
      <c r="I132" s="36"/>
      <c r="J132" s="36"/>
      <c r="K132" s="38"/>
      <c r="O132" s="65" t="s">
        <v>144</v>
      </c>
    </row>
    <row r="133" spans="1:12" ht="15.75">
      <c r="A133" s="43"/>
      <c r="B133" s="1"/>
      <c r="C133" s="36"/>
      <c r="D133" s="36"/>
      <c r="E133" s="36"/>
      <c r="F133" s="36"/>
      <c r="G133" s="36"/>
      <c r="H133" s="36"/>
      <c r="I133" s="36"/>
      <c r="J133" s="36"/>
      <c r="K133" s="38"/>
      <c r="L133" s="38"/>
    </row>
    <row r="134" spans="1:12" ht="15.75">
      <c r="A134" s="43"/>
      <c r="B134" s="1"/>
      <c r="C134" s="40" t="s">
        <v>97</v>
      </c>
      <c r="D134" s="36"/>
      <c r="E134" s="97"/>
      <c r="F134" s="36"/>
      <c r="G134" s="4" t="s">
        <v>24</v>
      </c>
      <c r="H134" s="36"/>
      <c r="I134" s="36"/>
      <c r="J134" s="62"/>
      <c r="K134" s="38"/>
      <c r="L134" s="98"/>
    </row>
    <row r="135" spans="1:12" ht="15.75">
      <c r="A135" s="43"/>
      <c r="B135" s="1"/>
      <c r="C135" s="40"/>
      <c r="D135" s="36"/>
      <c r="E135" s="97"/>
      <c r="F135" s="36"/>
      <c r="G135" s="4" t="s">
        <v>2</v>
      </c>
      <c r="H135" s="36"/>
      <c r="I135" s="36"/>
      <c r="J135" s="36"/>
      <c r="K135" s="38"/>
      <c r="L135" s="38"/>
    </row>
    <row r="136" spans="1:12" ht="15.75">
      <c r="A136" s="43"/>
      <c r="B136" s="1"/>
      <c r="C136" s="36"/>
      <c r="D136" s="36"/>
      <c r="E136" s="97"/>
      <c r="F136" s="36"/>
      <c r="G136" s="4" t="s">
        <v>26</v>
      </c>
      <c r="H136" s="36"/>
      <c r="I136" s="36"/>
      <c r="J136" s="36"/>
      <c r="K136" s="38"/>
      <c r="L136" s="38"/>
    </row>
    <row r="137" spans="1:12" ht="15.75">
      <c r="A137" s="67"/>
      <c r="B137" s="1"/>
      <c r="C137" s="67"/>
      <c r="D137" s="67"/>
      <c r="E137" s="67"/>
      <c r="F137" s="67"/>
      <c r="G137" s="67"/>
      <c r="H137" s="67"/>
      <c r="I137" s="67"/>
      <c r="J137" s="67"/>
      <c r="K137" s="67"/>
      <c r="L137" s="67"/>
    </row>
    <row r="138" spans="1:12" ht="15.75">
      <c r="A138" s="99"/>
      <c r="B138" s="1"/>
      <c r="C138" s="37" t="s">
        <v>27</v>
      </c>
      <c r="D138" s="37" t="s">
        <v>28</v>
      </c>
      <c r="E138" s="37" t="s">
        <v>29</v>
      </c>
      <c r="F138" s="38" t="s">
        <v>30</v>
      </c>
      <c r="G138" s="38"/>
      <c r="H138" s="39" t="s">
        <v>31</v>
      </c>
      <c r="I138" s="38"/>
      <c r="J138" s="39" t="s">
        <v>32</v>
      </c>
      <c r="K138" s="70"/>
      <c r="L138" s="70"/>
    </row>
    <row r="139" spans="1:12" ht="15.75">
      <c r="A139" s="43"/>
      <c r="B139" s="1"/>
      <c r="C139" s="36"/>
      <c r="D139" s="40"/>
      <c r="E139" s="40"/>
      <c r="F139" s="40"/>
      <c r="G139" s="40"/>
      <c r="H139" s="40"/>
      <c r="I139" s="40"/>
      <c r="J139" s="40"/>
      <c r="K139" s="40"/>
      <c r="L139" s="40"/>
    </row>
    <row r="140" spans="1:12" ht="15.75">
      <c r="A140" s="43"/>
      <c r="B140" s="1"/>
      <c r="C140" s="36"/>
      <c r="D140" s="47" t="s">
        <v>145</v>
      </c>
      <c r="E140" s="36"/>
      <c r="F140" s="40"/>
      <c r="G140" s="40"/>
      <c r="H140" s="40"/>
      <c r="I140" s="40"/>
      <c r="J140" s="40"/>
      <c r="K140" s="38"/>
      <c r="L140" s="38"/>
    </row>
    <row r="141" spans="1:12" ht="15.75">
      <c r="A141" s="43" t="s">
        <v>35</v>
      </c>
      <c r="B141" s="1"/>
      <c r="C141" s="47"/>
      <c r="D141" s="40"/>
      <c r="E141" s="40"/>
      <c r="F141" s="40"/>
      <c r="G141" s="40"/>
      <c r="H141" s="40"/>
      <c r="I141" s="40"/>
      <c r="J141" s="40"/>
      <c r="K141" s="38"/>
      <c r="L141" s="38"/>
    </row>
    <row r="142" spans="1:12" ht="16.5" thickBot="1">
      <c r="A142" s="46" t="s">
        <v>40</v>
      </c>
      <c r="B142" s="1"/>
      <c r="C142" s="52"/>
      <c r="D142" s="40"/>
      <c r="E142" s="40"/>
      <c r="F142" s="40"/>
      <c r="G142" s="40"/>
      <c r="H142" s="40"/>
      <c r="I142" s="36"/>
      <c r="J142" s="36"/>
      <c r="K142" s="38"/>
      <c r="L142" s="38"/>
    </row>
    <row r="143" spans="1:12" ht="15.75">
      <c r="A143" s="43">
        <v>1</v>
      </c>
      <c r="B143" s="1"/>
      <c r="C143" s="40" t="s">
        <v>146</v>
      </c>
      <c r="D143" s="38"/>
      <c r="E143" s="38"/>
      <c r="F143" s="38"/>
      <c r="G143" s="38"/>
      <c r="H143" s="38"/>
      <c r="I143" s="38"/>
      <c r="J143" s="38"/>
      <c r="K143" s="38"/>
      <c r="L143" s="38"/>
    </row>
    <row r="144" spans="1:12" ht="16.5" thickBot="1">
      <c r="A144" s="43"/>
      <c r="B144" s="1"/>
      <c r="C144" s="40"/>
      <c r="D144" s="100" t="s">
        <v>147</v>
      </c>
      <c r="E144" s="101" t="s">
        <v>148</v>
      </c>
      <c r="F144" s="101" t="s">
        <v>149</v>
      </c>
      <c r="G144" s="38"/>
      <c r="H144" s="101" t="s">
        <v>150</v>
      </c>
      <c r="I144" s="38"/>
      <c r="J144" s="38"/>
      <c r="K144" s="38"/>
      <c r="L144" s="38"/>
    </row>
    <row r="145" spans="1:12" ht="15.75">
      <c r="A145" s="43">
        <f>+A143+1</f>
        <v>2</v>
      </c>
      <c r="B145" s="1"/>
      <c r="C145" s="40" t="s">
        <v>44</v>
      </c>
      <c r="D145" s="48" t="str">
        <f>+'Attachment H'!$B$2&amp;", Page 4, Line "&amp;'Attachment H'!A193</f>
        <v>Attachment H, Page 4, Line 7</v>
      </c>
      <c r="E145" s="5">
        <f>+'Attachment H'!D193</f>
        <v>0</v>
      </c>
      <c r="F145" s="25">
        <v>0</v>
      </c>
      <c r="G145" s="102"/>
      <c r="H145" s="5">
        <f>E145*F145</f>
        <v>0</v>
      </c>
      <c r="I145" s="48"/>
      <c r="J145" s="48"/>
      <c r="K145" s="38"/>
      <c r="L145" s="38"/>
    </row>
    <row r="146" spans="1:12" ht="15.75">
      <c r="A146" s="43">
        <f>+A145+1</f>
        <v>3</v>
      </c>
      <c r="B146" s="1"/>
      <c r="C146" s="40" t="s">
        <v>46</v>
      </c>
      <c r="D146" s="48" t="str">
        <f>+'Attachment H'!$B$2&amp;", Page 4, Line "&amp;'Attachment H'!A194</f>
        <v>Attachment H, Page 4, Line 8</v>
      </c>
      <c r="E146" s="5">
        <f>+'Attachment H'!D194</f>
        <v>0</v>
      </c>
      <c r="F146" s="25">
        <v>0</v>
      </c>
      <c r="G146" s="102"/>
      <c r="H146" s="5">
        <f>E146*F146</f>
        <v>0</v>
      </c>
      <c r="I146" s="48"/>
      <c r="J146" s="48"/>
      <c r="K146" s="38"/>
      <c r="L146" s="38"/>
    </row>
    <row r="147" spans="1:12" ht="15.75">
      <c r="A147" s="43">
        <f>+A146+1</f>
        <v>4</v>
      </c>
      <c r="B147" s="1"/>
      <c r="C147" s="40" t="s">
        <v>47</v>
      </c>
      <c r="D147" s="48" t="str">
        <f>+'Attachment H'!$B$2&amp;", Page 4, Line "&amp;'Attachment H'!A195</f>
        <v>Attachment H, Page 4, Line 9</v>
      </c>
      <c r="E147" s="50">
        <f>+'Attachment H'!D195</f>
        <v>1</v>
      </c>
      <c r="F147" s="25">
        <v>1</v>
      </c>
      <c r="G147" s="102"/>
      <c r="H147" s="5">
        <f>E147*F147</f>
        <v>1</v>
      </c>
      <c r="I147" s="48"/>
      <c r="J147" s="103" t="s">
        <v>151</v>
      </c>
      <c r="K147" s="38"/>
      <c r="L147" s="38"/>
    </row>
    <row r="148" spans="1:12" ht="16.5" thickBot="1">
      <c r="A148" s="43">
        <f>+A147+1</f>
        <v>5</v>
      </c>
      <c r="B148" s="1"/>
      <c r="C148" s="40" t="s">
        <v>152</v>
      </c>
      <c r="D148" s="48" t="str">
        <f>+'Attachment H'!$B$2&amp;", Page 4, Line "&amp;'Attachment H'!A196</f>
        <v>Attachment H, Page 4, Line 10</v>
      </c>
      <c r="E148" s="51">
        <f>+'Attachment H'!D196</f>
        <v>0</v>
      </c>
      <c r="F148" s="25">
        <v>0</v>
      </c>
      <c r="G148" s="102"/>
      <c r="H148" s="51">
        <f>E148*F148</f>
        <v>0</v>
      </c>
      <c r="I148" s="48"/>
      <c r="J148" s="104" t="s">
        <v>153</v>
      </c>
      <c r="K148" s="38"/>
      <c r="L148" s="38"/>
    </row>
    <row r="149" spans="1:12" ht="15.75">
      <c r="A149" s="43">
        <f>+A148+1</f>
        <v>6</v>
      </c>
      <c r="B149" s="1"/>
      <c r="C149" s="40" t="s">
        <v>154</v>
      </c>
      <c r="D149" s="38" t="s">
        <v>155</v>
      </c>
      <c r="E149" s="5">
        <f>SUM(E145:E148)</f>
        <v>1</v>
      </c>
      <c r="F149" s="38"/>
      <c r="G149" s="38"/>
      <c r="H149" s="5">
        <f>SUM(H145:H148)</f>
        <v>1</v>
      </c>
      <c r="I149" s="105" t="s">
        <v>156</v>
      </c>
      <c r="J149" s="56">
        <f>IF(H149&gt;0,H149/E149,0)</f>
        <v>1</v>
      </c>
      <c r="K149" s="66" t="s">
        <v>156</v>
      </c>
      <c r="L149" s="38" t="s">
        <v>157</v>
      </c>
    </row>
    <row r="150" spans="2:12" ht="15.75">
      <c r="B150" s="1"/>
      <c r="C150" s="40" t="s">
        <v>30</v>
      </c>
      <c r="D150" s="38" t="s">
        <v>30</v>
      </c>
      <c r="E150" s="36"/>
      <c r="F150" s="38"/>
      <c r="G150" s="38"/>
      <c r="H150" s="36"/>
      <c r="I150" s="36"/>
      <c r="J150" s="36"/>
      <c r="K150" s="36"/>
      <c r="L150" s="38"/>
    </row>
    <row r="151" spans="1:12" ht="15.75">
      <c r="A151" s="43"/>
      <c r="B151" s="1"/>
      <c r="C151" s="40" t="s">
        <v>158</v>
      </c>
      <c r="D151" s="38"/>
      <c r="E151" s="41" t="s">
        <v>148</v>
      </c>
      <c r="F151" s="38"/>
      <c r="G151" s="38"/>
      <c r="H151" s="66" t="s">
        <v>159</v>
      </c>
      <c r="I151" s="78"/>
      <c r="J151" s="54" t="s">
        <v>151</v>
      </c>
      <c r="K151" s="38"/>
      <c r="L151" s="38"/>
    </row>
    <row r="152" spans="1:12" ht="15.75">
      <c r="A152" s="43">
        <f>+A149+1</f>
        <v>7</v>
      </c>
      <c r="B152" s="1"/>
      <c r="C152" s="40" t="s">
        <v>160</v>
      </c>
      <c r="D152" s="48" t="str">
        <f>+'Attachment H'!$B$2&amp;", Page 4, Line "&amp;'Attachment H'!A200</f>
        <v>Attachment H, Page 4, Line 13</v>
      </c>
      <c r="E152" s="5">
        <v>0</v>
      </c>
      <c r="F152" s="38"/>
      <c r="G152" s="36"/>
      <c r="H152" s="43" t="s">
        <v>161</v>
      </c>
      <c r="I152" s="106"/>
      <c r="J152" s="43" t="s">
        <v>162</v>
      </c>
      <c r="K152" s="38"/>
      <c r="L152" s="37" t="s">
        <v>53</v>
      </c>
    </row>
    <row r="153" spans="1:12" ht="15.75">
      <c r="A153" s="43">
        <f>+A152+1</f>
        <v>8</v>
      </c>
      <c r="B153" s="1"/>
      <c r="C153" s="40" t="s">
        <v>163</v>
      </c>
      <c r="D153" s="48" t="str">
        <f>+'Attachment H'!$B$2&amp;", Page 4, Line "&amp;'Attachment H'!A201</f>
        <v>Attachment H, Page 4, Line 14</v>
      </c>
      <c r="E153" s="5">
        <v>0</v>
      </c>
      <c r="F153" s="38"/>
      <c r="G153" s="36"/>
      <c r="H153" s="56">
        <f>IF(E155&gt;0,E152/E155,0)</f>
        <v>0</v>
      </c>
      <c r="I153" s="107" t="s">
        <v>164</v>
      </c>
      <c r="J153" s="56">
        <f>J149</f>
        <v>1</v>
      </c>
      <c r="K153" s="107" t="s">
        <v>156</v>
      </c>
      <c r="L153" s="56">
        <f>J153*H153</f>
        <v>0</v>
      </c>
    </row>
    <row r="154" spans="1:12" ht="16.5" thickBot="1">
      <c r="A154" s="43">
        <f>+A153+1</f>
        <v>9</v>
      </c>
      <c r="B154" s="1"/>
      <c r="C154" s="108" t="s">
        <v>165</v>
      </c>
      <c r="D154" s="109" t="str">
        <f>+'Attachment H'!$B$2&amp;", Page 4, Line "&amp;'Attachment H'!A202</f>
        <v>Attachment H, Page 4, Line 15</v>
      </c>
      <c r="E154" s="51">
        <v>0</v>
      </c>
      <c r="F154" s="38"/>
      <c r="G154" s="38"/>
      <c r="H154" s="38" t="s">
        <v>30</v>
      </c>
      <c r="I154" s="38"/>
      <c r="J154" s="38"/>
      <c r="K154" s="38"/>
      <c r="L154" s="38"/>
    </row>
    <row r="155" spans="1:12" ht="15.75">
      <c r="A155" s="43">
        <f>+A154+1</f>
        <v>10</v>
      </c>
      <c r="B155" s="1"/>
      <c r="C155" s="40" t="s">
        <v>166</v>
      </c>
      <c r="D155" s="38" t="s">
        <v>167</v>
      </c>
      <c r="E155" s="5">
        <f>E152+E153+E154</f>
        <v>0</v>
      </c>
      <c r="F155" s="38"/>
      <c r="G155" s="38"/>
      <c r="H155" s="38"/>
      <c r="I155" s="38"/>
      <c r="J155" s="38"/>
      <c r="K155" s="38"/>
      <c r="L155" s="38"/>
    </row>
    <row r="156" spans="1:12" ht="15.75">
      <c r="A156" s="43">
        <f>+A155+1</f>
        <v>11</v>
      </c>
      <c r="B156" s="1"/>
      <c r="C156" s="40"/>
      <c r="D156" s="38"/>
      <c r="E156" s="36"/>
      <c r="F156" s="38"/>
      <c r="G156" s="38"/>
      <c r="H156" s="38"/>
      <c r="I156" s="38"/>
      <c r="J156" s="38"/>
      <c r="K156" s="38"/>
      <c r="L156" s="38"/>
    </row>
    <row r="157" spans="1:12" ht="16.5" thickBot="1">
      <c r="A157" s="43"/>
      <c r="B157" s="1"/>
      <c r="C157" s="52" t="s">
        <v>168</v>
      </c>
      <c r="D157" s="38"/>
      <c r="E157" s="38"/>
      <c r="F157" s="38"/>
      <c r="G157" s="38"/>
      <c r="H157" s="38"/>
      <c r="I157" s="38"/>
      <c r="J157" s="101" t="s">
        <v>148</v>
      </c>
      <c r="K157" s="38"/>
      <c r="L157" s="38"/>
    </row>
    <row r="158" spans="1:12" ht="15.75">
      <c r="A158" s="43">
        <f>+A156+1</f>
        <v>12</v>
      </c>
      <c r="B158" s="1"/>
      <c r="C158" s="40"/>
      <c r="D158" s="38"/>
      <c r="E158" s="38"/>
      <c r="F158" s="38"/>
      <c r="G158" s="38"/>
      <c r="I158" s="38"/>
      <c r="J158" s="38"/>
      <c r="K158" s="38"/>
      <c r="L158" s="38"/>
    </row>
    <row r="159" spans="1:12" ht="16.5" thickBot="1">
      <c r="A159" s="43">
        <f>+A158+1</f>
        <v>13</v>
      </c>
      <c r="B159" s="1"/>
      <c r="C159" s="40"/>
      <c r="D159" s="38"/>
      <c r="E159" s="46" t="s">
        <v>148</v>
      </c>
      <c r="G159" s="46" t="s">
        <v>169</v>
      </c>
      <c r="H159" s="101" t="s">
        <v>170</v>
      </c>
      <c r="I159" s="38"/>
      <c r="J159" s="46" t="s">
        <v>171</v>
      </c>
      <c r="K159" s="38"/>
      <c r="L159" s="38"/>
    </row>
    <row r="160" spans="1:12" ht="15.75">
      <c r="A160" s="43">
        <f>+A159+1</f>
        <v>14</v>
      </c>
      <c r="B160" s="1"/>
      <c r="C160" s="52" t="s">
        <v>172</v>
      </c>
      <c r="D160" s="48" t="str">
        <f>+'Attachment H'!$B$2&amp;", Page 4, Line "&amp;'Attachment H'!A208</f>
        <v>Attachment H, Page 4, Line 20</v>
      </c>
      <c r="E160" s="5">
        <f>+'Attachment H'!D208</f>
        <v>54414846.153846152</v>
      </c>
      <c r="G160" s="25">
        <f>+'Attachment H'!E208</f>
        <v>0.40000000000000002</v>
      </c>
      <c r="H160" s="110">
        <f>+'Attachment H'!G208</f>
        <v>0.024553397070887995</v>
      </c>
      <c r="I160" s="25"/>
      <c r="J160" s="111">
        <f>+'Attachment H'!I208</f>
        <v>0.0098213588283551992</v>
      </c>
      <c r="K160" s="112" t="s">
        <v>173</v>
      </c>
      <c r="L160" s="36"/>
    </row>
    <row r="161" spans="1:12" ht="15.75">
      <c r="A161" s="43">
        <f>+A160+1</f>
        <v>15</v>
      </c>
      <c r="B161" s="1"/>
      <c r="C161" s="52" t="s">
        <v>174</v>
      </c>
      <c r="D161" s="48" t="str">
        <f>+'Attachment H'!$B$2&amp;", Page 4, Line "&amp;'Attachment H'!A209</f>
        <v>Attachment H, Page 4, Line 21</v>
      </c>
      <c r="E161" s="50">
        <f>+'Attachment H'!D209</f>
        <v>0</v>
      </c>
      <c r="G161" s="25">
        <f>+'Attachment H'!E209</f>
        <v>0</v>
      </c>
      <c r="H161" s="25">
        <f>+'Attachment H'!G209</f>
        <v>0</v>
      </c>
      <c r="I161" s="25"/>
      <c r="J161" s="25">
        <f>+'Attachment H'!I209</f>
        <v>0</v>
      </c>
      <c r="K161" s="38"/>
      <c r="L161" s="36"/>
    </row>
    <row r="162" spans="1:12" ht="16.5" thickBot="1">
      <c r="A162" s="43">
        <f>+A161+1</f>
        <v>16</v>
      </c>
      <c r="B162" s="1"/>
      <c r="C162" s="52" t="s">
        <v>175</v>
      </c>
      <c r="D162" s="48" t="str">
        <f>+'Attachment H'!$B$2&amp;", Page 4, Line "&amp;'Attachment H'!A210</f>
        <v>Attachment H, Page 4, Line 22</v>
      </c>
      <c r="E162" s="51">
        <f>+'Attachment H'!D210</f>
        <v>81808385.220143661</v>
      </c>
      <c r="G162" s="113">
        <f>+'Attachment H'!E210</f>
        <v>0.59999999999999998</v>
      </c>
      <c r="H162" s="110">
        <f>+'Attachment H'!G210</f>
        <v>0.098000000000000004</v>
      </c>
      <c r="I162" s="25"/>
      <c r="J162" s="111">
        <f>+'Attachment H'!I210</f>
        <v>0.058799999999999998</v>
      </c>
      <c r="K162" s="38"/>
      <c r="L162" s="36"/>
    </row>
    <row r="163" spans="1:12" ht="15.75">
      <c r="A163" s="43">
        <v>17</v>
      </c>
      <c r="B163" s="1"/>
      <c r="C163" s="40" t="s">
        <v>176</v>
      </c>
      <c r="D163" s="36" t="s">
        <v>177</v>
      </c>
      <c r="E163" s="114">
        <f>SUM(E160:E162)</f>
        <v>136223231.37398982</v>
      </c>
      <c r="F163" s="38" t="s">
        <v>30</v>
      </c>
      <c r="G163" s="25"/>
      <c r="H163" s="25"/>
      <c r="I163" s="25"/>
      <c r="J163" s="111">
        <f>SUM(J160:J162)</f>
        <v>0.068621358828355197</v>
      </c>
      <c r="K163" s="112" t="s">
        <v>178</v>
      </c>
      <c r="L163" s="36"/>
    </row>
    <row r="164" spans="1:14" ht="15.75">
      <c r="A164" s="43"/>
      <c r="B164" s="1"/>
      <c r="G164" s="25"/>
      <c r="H164" s="25"/>
      <c r="I164" s="25"/>
      <c r="J164" s="25"/>
      <c r="K164" s="1"/>
      <c r="L164" s="1"/>
      <c r="M164" s="1"/>
      <c r="N164" s="1"/>
    </row>
    <row r="165" spans="1:14" ht="15.75">
      <c r="A165" s="43"/>
      <c r="B165" s="1"/>
      <c r="C165" s="1"/>
      <c r="D165" s="1"/>
      <c r="E165" s="1"/>
      <c r="F165" s="1"/>
      <c r="G165" s="1"/>
      <c r="H165" s="1"/>
      <c r="I165" s="1"/>
      <c r="L165" s="1"/>
      <c r="M165" s="1"/>
      <c r="N165" s="1"/>
    </row>
    <row r="166" spans="1:14" ht="15.75">
      <c r="A166" s="43"/>
      <c r="B166" s="1"/>
      <c r="C166" s="1"/>
      <c r="D166" s="1"/>
      <c r="E166" s="1"/>
      <c r="F166" s="1"/>
      <c r="G166" s="4" t="s">
        <v>179</v>
      </c>
      <c r="H166" s="1"/>
      <c r="I166" s="1"/>
      <c r="J166" s="1" t="s">
        <v>180</v>
      </c>
      <c r="K166" s="1" t="s">
        <v>181</v>
      </c>
      <c r="L166" s="1"/>
      <c r="M166" s="1"/>
      <c r="N166" s="1"/>
    </row>
    <row r="167" spans="1:14" ht="15.75">
      <c r="A167" s="43"/>
      <c r="B167" s="1"/>
      <c r="C167" s="1"/>
      <c r="E167" s="1"/>
      <c r="F167" s="1"/>
      <c r="G167" s="4" t="s">
        <v>182</v>
      </c>
      <c r="H167" s="1"/>
      <c r="I167" s="1"/>
      <c r="J167" s="1" t="s">
        <v>34</v>
      </c>
      <c r="K167" s="1" t="s">
        <v>183</v>
      </c>
      <c r="L167" s="1"/>
      <c r="M167" s="1"/>
      <c r="N167" s="1"/>
    </row>
    <row r="168" spans="1:14" ht="15.75">
      <c r="A168" s="43">
        <v>18</v>
      </c>
      <c r="B168" s="1"/>
      <c r="C168" s="115" t="s">
        <v>184</v>
      </c>
      <c r="E168" s="116"/>
      <c r="F168" s="117"/>
      <c r="G168" s="5">
        <f>+J94+J111</f>
        <v>1296265.9457530831</v>
      </c>
      <c r="I168" s="5"/>
      <c r="J168" s="5">
        <f>+J33</f>
        <v>14909649</v>
      </c>
      <c r="K168" s="25">
        <f>IF(J168=0,0,G168/J168)</f>
        <v>0.086941412621657499</v>
      </c>
      <c r="L168" s="1"/>
      <c r="M168" s="1"/>
      <c r="N168" s="1"/>
    </row>
    <row r="169" spans="1:14" ht="15.75">
      <c r="A169" s="43"/>
      <c r="B169" s="1"/>
      <c r="C169" s="115"/>
      <c r="D169" s="1"/>
      <c r="E169" s="116"/>
      <c r="F169" s="117"/>
      <c r="G169" s="4" t="s">
        <v>179</v>
      </c>
      <c r="H169" s="5"/>
      <c r="I169" s="5"/>
      <c r="J169" s="1" t="s">
        <v>185</v>
      </c>
      <c r="K169" s="1" t="s">
        <v>181</v>
      </c>
      <c r="L169" s="1"/>
      <c r="M169" s="1"/>
      <c r="N169" s="1"/>
    </row>
    <row r="170" spans="1:14" ht="15.75">
      <c r="A170" s="43"/>
      <c r="B170" s="1"/>
      <c r="C170" s="115"/>
      <c r="D170" s="1"/>
      <c r="E170" s="116"/>
      <c r="F170" s="117"/>
      <c r="G170" s="4" t="s">
        <v>186</v>
      </c>
      <c r="H170" s="5"/>
      <c r="I170" s="5"/>
      <c r="J170" s="1" t="s">
        <v>34</v>
      </c>
      <c r="K170" s="1" t="s">
        <v>183</v>
      </c>
      <c r="L170" s="1"/>
      <c r="M170" s="1"/>
      <c r="N170" s="1"/>
    </row>
    <row r="171" spans="1:14" ht="15.75">
      <c r="A171" s="43">
        <v>19</v>
      </c>
      <c r="B171" s="1"/>
      <c r="C171" s="115" t="s">
        <v>187</v>
      </c>
      <c r="E171" s="1"/>
      <c r="F171" s="1"/>
      <c r="G171" s="5">
        <f>+J124+J127</f>
        <v>759574.07195839973</v>
      </c>
      <c r="H171" s="5"/>
      <c r="I171" s="5"/>
      <c r="J171" s="5">
        <f>+J49</f>
        <v>9938721.6826055162</v>
      </c>
      <c r="K171" s="25">
        <f>IF(J171=0,0,G171/J171)</f>
        <v>0.076425731217303922</v>
      </c>
      <c r="L171" s="1"/>
      <c r="M171" s="1"/>
      <c r="N171" s="1"/>
    </row>
    <row r="172" spans="1:14" ht="15.75">
      <c r="A172" s="43"/>
      <c r="B172" s="1"/>
      <c r="C172" s="118"/>
      <c r="D172" s="1"/>
      <c r="E172" s="1"/>
      <c r="F172" s="1"/>
      <c r="G172" s="1"/>
      <c r="H172" s="119"/>
      <c r="I172" s="119"/>
      <c r="J172" s="119"/>
      <c r="K172" s="1"/>
      <c r="L172" s="1"/>
      <c r="M172" s="1"/>
      <c r="N172" s="1"/>
    </row>
    <row r="173" spans="1:14" ht="15.75">
      <c r="A173" s="43"/>
      <c r="B173" s="1"/>
      <c r="C173" s="1"/>
      <c r="D173" s="1"/>
      <c r="E173" s="1"/>
      <c r="F173" s="1"/>
      <c r="G173" s="1"/>
      <c r="H173" s="1"/>
      <c r="I173" s="1"/>
      <c r="J173" s="1"/>
      <c r="K173" s="1"/>
      <c r="L173" s="1"/>
      <c r="M173" s="1"/>
      <c r="N173" s="1"/>
    </row>
    <row r="174" spans="1:14" ht="15.75">
      <c r="A174" s="120"/>
      <c r="B174" s="1"/>
      <c r="C174" s="121"/>
      <c r="D174" s="122"/>
      <c r="E174" s="122" t="s">
        <v>188</v>
      </c>
      <c r="F174" s="1"/>
      <c r="G174" s="122"/>
      <c r="H174" s="122"/>
      <c r="I174" s="122"/>
      <c r="J174" s="122"/>
      <c r="K174" s="122"/>
      <c r="L174" s="122"/>
      <c r="M174" s="1"/>
      <c r="N174" s="1"/>
    </row>
    <row r="175" spans="1:14" ht="15.75">
      <c r="A175" s="120"/>
      <c r="B175" s="1"/>
      <c r="C175" s="121"/>
      <c r="D175" s="122" t="s">
        <v>189</v>
      </c>
      <c r="E175" s="123" t="s">
        <v>190</v>
      </c>
      <c r="F175" s="1"/>
      <c r="G175" s="122" t="s">
        <v>191</v>
      </c>
      <c r="H175" s="124" t="s">
        <v>192</v>
      </c>
      <c r="I175" s="1"/>
      <c r="J175" s="122"/>
      <c r="K175" s="125"/>
      <c r="L175" s="125"/>
      <c r="N175" s="1"/>
    </row>
    <row r="176" spans="1:14" ht="26.25">
      <c r="A176" s="117" t="s">
        <v>193</v>
      </c>
      <c r="B176" s="1"/>
      <c r="C176" s="123" t="s">
        <v>194</v>
      </c>
      <c r="D176" s="123" t="s">
        <v>34</v>
      </c>
      <c r="E176" s="126" t="str">
        <f>+D176</f>
        <v>Distribution</v>
      </c>
      <c r="F176" s="1"/>
      <c r="G176" s="123" t="s">
        <v>195</v>
      </c>
      <c r="H176" s="123" t="s">
        <v>196</v>
      </c>
      <c r="I176" s="1"/>
      <c r="J176" s="123"/>
      <c r="K176" s="123"/>
      <c r="L176" s="123"/>
      <c r="N176" s="1"/>
    </row>
    <row r="177" spans="1:14" ht="15.75">
      <c r="A177" s="120"/>
      <c r="B177" s="1"/>
      <c r="C177" s="122" t="s">
        <v>197</v>
      </c>
      <c r="D177" s="122" t="s">
        <v>198</v>
      </c>
      <c r="E177" s="122" t="s">
        <v>199</v>
      </c>
      <c r="F177" s="1"/>
      <c r="G177" s="123" t="s">
        <v>200</v>
      </c>
      <c r="H177" s="123" t="s">
        <v>201</v>
      </c>
      <c r="I177" s="1"/>
      <c r="J177" s="123"/>
      <c r="K177" s="127"/>
      <c r="L177" s="127"/>
      <c r="N177" s="1"/>
    </row>
    <row r="178" spans="1:14" ht="15.75">
      <c r="A178" s="120"/>
      <c r="B178" s="1"/>
      <c r="C178" s="128"/>
      <c r="D178" s="129"/>
      <c r="E178" s="129"/>
      <c r="F178" s="1"/>
      <c r="G178" s="130"/>
      <c r="H178" s="130"/>
      <c r="I178" s="1"/>
      <c r="J178" s="130"/>
      <c r="K178" s="131"/>
      <c r="L178" s="131"/>
      <c r="N178" s="1"/>
    </row>
    <row r="179" spans="1:14" ht="57" customHeight="1">
      <c r="A179" s="120"/>
      <c r="B179" s="1"/>
      <c r="C179" s="122"/>
      <c r="D179" s="132" t="s">
        <v>202</v>
      </c>
      <c r="E179" s="132" t="s">
        <v>203</v>
      </c>
      <c r="F179" s="4"/>
      <c r="G179" s="132" t="s">
        <v>204</v>
      </c>
      <c r="H179" s="132" t="s">
        <v>205</v>
      </c>
      <c r="I179" s="1"/>
      <c r="J179" s="68"/>
      <c r="K179" s="68"/>
      <c r="L179" s="68"/>
      <c r="N179" s="1"/>
    </row>
    <row r="180" spans="1:14" ht="15.75">
      <c r="A180" s="120">
        <f>+A171+1</f>
        <v>20</v>
      </c>
      <c r="B180" s="1"/>
      <c r="C180" s="133" t="s">
        <v>206</v>
      </c>
      <c r="D180" s="134">
        <v>14909649</v>
      </c>
      <c r="E180" s="134">
        <v>4821830.8273944855</v>
      </c>
      <c r="F180" s="1"/>
      <c r="G180" s="135">
        <v>0</v>
      </c>
      <c r="H180" s="135">
        <f>'4- Rate Base'!G11</f>
        <v>31986.685807405956</v>
      </c>
      <c r="I180" s="1"/>
      <c r="J180" s="5"/>
      <c r="K180" s="136"/>
      <c r="L180" s="136"/>
      <c r="N180" s="1"/>
    </row>
    <row r="181" spans="1:14" ht="15.75">
      <c r="A181" s="120">
        <f>+A180+1</f>
        <v>21</v>
      </c>
      <c r="B181" s="1"/>
      <c r="C181" s="133" t="s">
        <v>207</v>
      </c>
      <c r="D181" s="135">
        <v>14909649</v>
      </c>
      <c r="E181" s="135">
        <v>4846680.2423944846</v>
      </c>
      <c r="F181" s="1"/>
      <c r="G181" s="135">
        <v>0</v>
      </c>
      <c r="H181" s="135">
        <f>'4- Rate Base'!G12</f>
        <v>31986.685807405956</v>
      </c>
      <c r="I181" s="1"/>
      <c r="J181" s="136"/>
      <c r="K181" s="5"/>
      <c r="L181" s="136"/>
      <c r="N181" s="1"/>
    </row>
    <row r="182" spans="1:14" ht="15.75">
      <c r="A182" s="120">
        <f t="shared" si="7" ref="A182:A193">+A181+1</f>
        <v>22</v>
      </c>
      <c r="B182" s="1"/>
      <c r="C182" s="137" t="s">
        <v>208</v>
      </c>
      <c r="D182" s="135">
        <v>14909649</v>
      </c>
      <c r="E182" s="135">
        <v>4871529.6573944855</v>
      </c>
      <c r="F182" s="1"/>
      <c r="G182" s="135">
        <v>0</v>
      </c>
      <c r="H182" s="135">
        <f>'4- Rate Base'!G13</f>
        <v>31986.685807405956</v>
      </c>
      <c r="I182" s="1"/>
      <c r="J182" s="136"/>
      <c r="K182" s="5"/>
      <c r="L182" s="136"/>
      <c r="N182" s="1"/>
    </row>
    <row r="183" spans="1:14" ht="15.75">
      <c r="A183" s="120">
        <f t="shared" si="7"/>
        <v>23</v>
      </c>
      <c r="B183" s="1"/>
      <c r="C183" s="137" t="s">
        <v>209</v>
      </c>
      <c r="D183" s="135">
        <v>14909649</v>
      </c>
      <c r="E183" s="135">
        <v>4896379.0723944847</v>
      </c>
      <c r="F183" s="1"/>
      <c r="G183" s="135">
        <v>0</v>
      </c>
      <c r="H183" s="135">
        <f>'4- Rate Base'!G14</f>
        <v>31986.685807405956</v>
      </c>
      <c r="I183" s="1"/>
      <c r="J183" s="136"/>
      <c r="K183" s="5"/>
      <c r="L183" s="136"/>
      <c r="N183" s="1"/>
    </row>
    <row r="184" spans="1:14" ht="15.75">
      <c r="A184" s="120">
        <f t="shared" si="7"/>
        <v>24</v>
      </c>
      <c r="B184" s="1"/>
      <c r="C184" s="137" t="s">
        <v>210</v>
      </c>
      <c r="D184" s="135">
        <v>14909649</v>
      </c>
      <c r="E184" s="135">
        <v>4921228.4873944838</v>
      </c>
      <c r="F184" s="1"/>
      <c r="G184" s="135">
        <v>0</v>
      </c>
      <c r="H184" s="135">
        <f>'4- Rate Base'!G15</f>
        <v>31986.685807405956</v>
      </c>
      <c r="I184" s="1"/>
      <c r="J184" s="136"/>
      <c r="K184" s="5"/>
      <c r="L184" s="136"/>
      <c r="N184" s="1"/>
    </row>
    <row r="185" spans="1:14" ht="15.75">
      <c r="A185" s="120">
        <f t="shared" si="7"/>
        <v>25</v>
      </c>
      <c r="B185" s="1"/>
      <c r="C185" s="137" t="s">
        <v>211</v>
      </c>
      <c r="D185" s="135">
        <v>14909649</v>
      </c>
      <c r="E185" s="135">
        <v>4946077.9023944847</v>
      </c>
      <c r="F185" s="1"/>
      <c r="G185" s="135">
        <v>0</v>
      </c>
      <c r="H185" s="135">
        <f>'4- Rate Base'!G16</f>
        <v>31986.685807405956</v>
      </c>
      <c r="I185" s="1"/>
      <c r="J185" s="136"/>
      <c r="K185" s="5"/>
      <c r="L185" s="136"/>
      <c r="N185" s="1"/>
    </row>
    <row r="186" spans="1:14" ht="15.75">
      <c r="A186" s="120">
        <f t="shared" si="7"/>
        <v>26</v>
      </c>
      <c r="B186" s="1"/>
      <c r="C186" s="137" t="s">
        <v>212</v>
      </c>
      <c r="D186" s="135">
        <v>14909649</v>
      </c>
      <c r="E186" s="135">
        <v>4970927.3173944838</v>
      </c>
      <c r="F186" s="1"/>
      <c r="G186" s="135">
        <v>0</v>
      </c>
      <c r="H186" s="135">
        <f>'4- Rate Base'!G17</f>
        <v>31986.685807405956</v>
      </c>
      <c r="I186" s="1"/>
      <c r="J186" s="136"/>
      <c r="K186" s="5"/>
      <c r="L186" s="136"/>
      <c r="N186" s="1"/>
    </row>
    <row r="187" spans="1:14" ht="15.75">
      <c r="A187" s="120">
        <f t="shared" si="7"/>
        <v>27</v>
      </c>
      <c r="B187" s="1"/>
      <c r="C187" s="137" t="s">
        <v>213</v>
      </c>
      <c r="D187" s="135">
        <v>14909649</v>
      </c>
      <c r="E187" s="135">
        <v>4995776.7323944829</v>
      </c>
      <c r="F187" s="1"/>
      <c r="G187" s="135">
        <v>0</v>
      </c>
      <c r="H187" s="135">
        <f>'4- Rate Base'!G18</f>
        <v>31986.685807405956</v>
      </c>
      <c r="I187" s="1"/>
      <c r="J187" s="136"/>
      <c r="K187" s="5"/>
      <c r="L187" s="136"/>
      <c r="N187" s="1"/>
    </row>
    <row r="188" spans="1:14" ht="15.75">
      <c r="A188" s="120">
        <f t="shared" si="7"/>
        <v>28</v>
      </c>
      <c r="B188" s="1"/>
      <c r="C188" s="137" t="s">
        <v>214</v>
      </c>
      <c r="D188" s="135">
        <v>14909649</v>
      </c>
      <c r="E188" s="135">
        <v>5020626.147394482</v>
      </c>
      <c r="F188" s="1"/>
      <c r="G188" s="135">
        <v>0</v>
      </c>
      <c r="H188" s="135">
        <f>'4- Rate Base'!G19</f>
        <v>31986.685807405956</v>
      </c>
      <c r="I188" s="1"/>
      <c r="J188" s="136"/>
      <c r="K188" s="5"/>
      <c r="L188" s="136"/>
      <c r="N188" s="1"/>
    </row>
    <row r="189" spans="1:14" ht="15.75">
      <c r="A189" s="120">
        <f t="shared" si="7"/>
        <v>29</v>
      </c>
      <c r="B189" s="1"/>
      <c r="C189" s="137" t="s">
        <v>215</v>
      </c>
      <c r="D189" s="135">
        <v>14909649</v>
      </c>
      <c r="E189" s="135">
        <v>5045475.562394483</v>
      </c>
      <c r="F189" s="1"/>
      <c r="G189" s="135">
        <v>0</v>
      </c>
      <c r="H189" s="135">
        <f>'4- Rate Base'!G20</f>
        <v>31986.685807405956</v>
      </c>
      <c r="I189" s="1"/>
      <c r="J189" s="136"/>
      <c r="K189" s="5"/>
      <c r="L189" s="136"/>
      <c r="N189" s="1"/>
    </row>
    <row r="190" spans="1:14" ht="15.75">
      <c r="A190" s="120">
        <f t="shared" si="7"/>
        <v>30</v>
      </c>
      <c r="B190" s="1"/>
      <c r="C190" s="137" t="s">
        <v>216</v>
      </c>
      <c r="D190" s="135">
        <v>14909649</v>
      </c>
      <c r="E190" s="135">
        <v>5070324.977394484</v>
      </c>
      <c r="F190" s="1"/>
      <c r="G190" s="135">
        <v>0</v>
      </c>
      <c r="H190" s="135">
        <f>'4- Rate Base'!G21</f>
        <v>31986.685807405956</v>
      </c>
      <c r="I190" s="1"/>
      <c r="J190" s="136"/>
      <c r="K190" s="5"/>
      <c r="L190" s="136"/>
      <c r="N190" s="1"/>
    </row>
    <row r="191" spans="1:14" ht="15.75">
      <c r="A191" s="120">
        <f t="shared" si="7"/>
        <v>31</v>
      </c>
      <c r="B191" s="1"/>
      <c r="C191" s="137" t="s">
        <v>217</v>
      </c>
      <c r="D191" s="135">
        <v>14909649</v>
      </c>
      <c r="E191" s="135">
        <v>5095174.3923944812</v>
      </c>
      <c r="F191" s="1"/>
      <c r="G191" s="135">
        <v>0</v>
      </c>
      <c r="H191" s="135">
        <f>'4- Rate Base'!G22</f>
        <v>31986.685807405956</v>
      </c>
      <c r="I191" s="1"/>
      <c r="J191" s="136"/>
      <c r="K191" s="5"/>
      <c r="L191" s="136"/>
      <c r="N191" s="1"/>
    </row>
    <row r="192" spans="1:14" ht="15.75">
      <c r="A192" s="120">
        <f t="shared" si="7"/>
        <v>32</v>
      </c>
      <c r="B192" s="1"/>
      <c r="C192" s="137" t="s">
        <v>218</v>
      </c>
      <c r="D192" s="134">
        <v>14909649</v>
      </c>
      <c r="E192" s="134">
        <v>5120023.8073944803</v>
      </c>
      <c r="F192" s="1"/>
      <c r="G192" s="135">
        <v>0</v>
      </c>
      <c r="H192" s="135">
        <f>'4- Rate Base'!G23</f>
        <v>31986.685807405956</v>
      </c>
      <c r="I192" s="1"/>
      <c r="J192" s="136"/>
      <c r="K192" s="5"/>
      <c r="L192" s="136"/>
      <c r="N192" s="1"/>
    </row>
    <row r="193" spans="1:14" ht="16.5" thickBot="1">
      <c r="A193" s="120">
        <f t="shared" si="7"/>
        <v>33</v>
      </c>
      <c r="B193" s="1"/>
      <c r="C193" s="138" t="s">
        <v>219</v>
      </c>
      <c r="D193" s="139">
        <f t="shared" si="8" ref="D193">SUM(D180:D192)/13</f>
        <v>14909649</v>
      </c>
      <c r="E193" s="96">
        <f>SUM(E180:E192)/13</f>
        <v>4970927.3173944838</v>
      </c>
      <c r="F193" s="1"/>
      <c r="G193" s="140">
        <f>SUM(G180:G192)/13</f>
        <v>0</v>
      </c>
      <c r="H193" s="139">
        <f>SUM(H180:H192)/13</f>
        <v>31986.685807405967</v>
      </c>
      <c r="I193" s="1"/>
      <c r="J193" s="25"/>
      <c r="K193" s="25"/>
      <c r="L193" s="25"/>
      <c r="N193" s="1"/>
    </row>
    <row r="194" spans="1:14" ht="16.5" thickTop="1">
      <c r="A194" s="1"/>
      <c r="B194" s="1"/>
      <c r="C194" s="1"/>
      <c r="D194" s="1"/>
      <c r="E194" s="1"/>
      <c r="F194" s="1"/>
      <c r="G194" s="1"/>
      <c r="H194" s="1"/>
      <c r="I194" s="1"/>
      <c r="J194" s="1"/>
      <c r="K194" s="1"/>
      <c r="L194" s="1"/>
      <c r="M194" s="1"/>
      <c r="N194" s="1"/>
    </row>
    <row r="197" spans="1:11" ht="15.75">
      <c r="A197" s="120"/>
      <c r="C197" s="4" t="s">
        <v>220</v>
      </c>
      <c r="D197" s="141"/>
      <c r="E197" s="141"/>
      <c r="G197" s="141"/>
      <c r="H197" s="141"/>
      <c r="I197" s="141"/>
      <c r="J197" s="1"/>
      <c r="K197" s="1"/>
    </row>
    <row r="198" spans="1:12" ht="15.75">
      <c r="A198" s="120"/>
      <c r="C198" s="4" t="s">
        <v>197</v>
      </c>
      <c r="D198" s="4" t="s">
        <v>198</v>
      </c>
      <c r="E198" s="4" t="s">
        <v>199</v>
      </c>
      <c r="G198" s="4" t="s">
        <v>200</v>
      </c>
      <c r="H198" s="4" t="s">
        <v>201</v>
      </c>
      <c r="J198" s="4" t="s">
        <v>221</v>
      </c>
      <c r="K198" s="4" t="s">
        <v>222</v>
      </c>
      <c r="L198" s="4" t="s">
        <v>223</v>
      </c>
    </row>
    <row r="199" spans="1:12" ht="131.25" customHeight="1">
      <c r="A199" s="120">
        <f>+A193+1</f>
        <v>34</v>
      </c>
      <c r="C199" s="142" t="s">
        <v>224</v>
      </c>
      <c r="D199" s="143"/>
      <c r="E199" s="144" t="s">
        <v>179</v>
      </c>
      <c r="G199" s="144" t="s">
        <v>225</v>
      </c>
      <c r="H199" s="144" t="s">
        <v>226</v>
      </c>
      <c r="J199" s="144" t="s">
        <v>227</v>
      </c>
      <c r="K199" s="145" t="s">
        <v>228</v>
      </c>
      <c r="L199" s="145" t="s">
        <v>229</v>
      </c>
    </row>
    <row r="200" spans="1:12" ht="15.75">
      <c r="A200" s="120" t="s">
        <v>230</v>
      </c>
      <c r="C200" s="1"/>
      <c r="D200" s="146" t="s">
        <v>231</v>
      </c>
      <c r="E200" s="147">
        <v>0</v>
      </c>
      <c r="G200" s="147">
        <v>0</v>
      </c>
      <c r="H200" s="148"/>
      <c r="J200" s="148"/>
      <c r="K200" s="147"/>
      <c r="L200" s="149">
        <f>+K200*G200*E200</f>
        <v>0</v>
      </c>
    </row>
    <row r="201" spans="1:12" ht="15.75">
      <c r="A201" s="120" t="s">
        <v>232</v>
      </c>
      <c r="C201" s="1"/>
      <c r="D201" s="146" t="s">
        <v>233</v>
      </c>
      <c r="E201" s="60">
        <v>0</v>
      </c>
      <c r="G201" s="147">
        <v>0</v>
      </c>
      <c r="H201" s="148"/>
      <c r="J201" s="148"/>
      <c r="K201" s="147"/>
      <c r="L201" s="149">
        <f>+K201*G201*E201</f>
        <v>0</v>
      </c>
    </row>
    <row r="202" spans="1:12" ht="15.75">
      <c r="A202" s="120" t="s">
        <v>234</v>
      </c>
      <c r="C202" s="1"/>
      <c r="D202" s="146" t="s">
        <v>235</v>
      </c>
      <c r="E202" s="60"/>
      <c r="G202" s="147"/>
      <c r="H202" s="148"/>
      <c r="J202" s="148"/>
      <c r="K202" s="147"/>
      <c r="L202" s="149"/>
    </row>
    <row r="203" spans="1:12" ht="15.75">
      <c r="A203" s="120" t="s">
        <v>18</v>
      </c>
      <c r="C203" s="1"/>
      <c r="D203" s="146"/>
      <c r="E203" s="60"/>
      <c r="G203" s="147"/>
      <c r="H203" s="148"/>
      <c r="J203" s="148"/>
      <c r="K203" s="147"/>
      <c r="L203" s="149"/>
    </row>
    <row r="204" spans="1:12" ht="15.75">
      <c r="A204" s="120" t="s">
        <v>18</v>
      </c>
      <c r="C204" s="1"/>
      <c r="D204" s="146" t="s">
        <v>18</v>
      </c>
      <c r="E204" s="60"/>
      <c r="G204" s="147"/>
      <c r="H204" s="148"/>
      <c r="J204" s="148"/>
      <c r="K204" s="147"/>
      <c r="L204" s="149"/>
    </row>
    <row r="205" spans="1:12" ht="15.75">
      <c r="A205" s="120" t="s">
        <v>18</v>
      </c>
      <c r="C205" s="1"/>
      <c r="D205" s="150" t="s">
        <v>18</v>
      </c>
      <c r="E205" s="151">
        <v>0</v>
      </c>
      <c r="G205" s="152">
        <v>0</v>
      </c>
      <c r="H205" s="153"/>
      <c r="J205" s="153"/>
      <c r="K205" s="152"/>
      <c r="L205" s="154">
        <f>+K205*G205*E205</f>
        <v>0</v>
      </c>
    </row>
    <row r="206" spans="1:12" ht="15.75">
      <c r="A206" s="120">
        <v>36</v>
      </c>
      <c r="C206" s="1"/>
      <c r="D206" s="142" t="s">
        <v>20</v>
      </c>
      <c r="E206" s="5">
        <f>SUM(E200:E205)</f>
        <v>0</v>
      </c>
      <c r="G206" s="114"/>
      <c r="H206" s="73"/>
      <c r="J206" s="73"/>
      <c r="K206" s="114"/>
      <c r="L206" s="149">
        <f>SUM(L200:L205)</f>
        <v>0</v>
      </c>
    </row>
    <row r="208" spans="1:10" ht="67.5" customHeight="1">
      <c r="A208" s="155" t="s">
        <v>236</v>
      </c>
      <c r="B208" s="1045" t="s">
        <v>237</v>
      </c>
      <c r="C208" s="1045"/>
      <c r="D208" s="1045"/>
      <c r="E208" s="1045"/>
      <c r="F208" s="1045"/>
      <c r="G208" s="1045"/>
      <c r="H208" s="1045"/>
      <c r="I208" s="1045"/>
      <c r="J208" s="1045"/>
    </row>
    <row r="209" spans="1:10" ht="21" customHeight="1">
      <c r="A209" s="120" t="s">
        <v>238</v>
      </c>
      <c r="B209" s="156" t="s">
        <v>239</v>
      </c>
      <c r="C209" s="1"/>
      <c r="D209" s="1"/>
      <c r="E209" s="1"/>
      <c r="F209" s="1"/>
      <c r="G209" s="1"/>
      <c r="H209" s="1"/>
      <c r="I209" s="1"/>
      <c r="J209" s="1"/>
    </row>
  </sheetData>
  <mergeCells count="3">
    <mergeCell ref="G28:H28"/>
    <mergeCell ref="G29:H29"/>
    <mergeCell ref="B208:J208"/>
  </mergeCells>
  <pageMargins left="0.25" right="0.25" top="0.75" bottom="0.75" header="0.3" footer="0.3"/>
  <pageSetup fitToHeight="5" orientation="landscape" scale="41" r:id="rId1"/>
  <rowBreaks count="3" manualBreakCount="3">
    <brk id="75" max="14" man="1"/>
    <brk id="131" max="14" man="1"/>
    <brk id="193" max="14"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50F4-DE5A-4299-9851-9D95ACE65469}">
  <sheetPr>
    <tabColor rgb="FF00B050"/>
  </sheetPr>
  <dimension ref="A1:K62"/>
  <sheetViews>
    <sheetView view="pageBreakPreview" zoomScale="60" zoomScaleNormal="100" workbookViewId="0" topLeftCell="A1"/>
  </sheetViews>
  <sheetFormatPr defaultRowHeight="15"/>
  <cols>
    <col min="1" max="1" width="9.11111111111111" style="2"/>
    <col min="2" max="2" width="33.6666666666667" style="2" customWidth="1"/>
    <col min="3" max="3" width="35.3333333333333" style="2" customWidth="1"/>
    <col min="4" max="4" width="15" style="2" customWidth="1"/>
    <col min="5" max="5" width="19" style="2" customWidth="1"/>
    <col min="6" max="6" width="17.1111111111111" style="2" customWidth="1"/>
    <col min="7" max="7" width="15.5555555555556" style="2" customWidth="1"/>
    <col min="8" max="8" width="16.5555555555556" style="2" customWidth="1"/>
    <col min="9" max="9" width="12.1111111111111" style="2" customWidth="1"/>
    <col min="10" max="10" width="14" style="2" customWidth="1"/>
    <col min="11" max="11" width="15.3333333333333" style="2" customWidth="1"/>
    <col min="12" max="16384" width="9.11111111111111" style="2"/>
  </cols>
  <sheetData>
    <row r="1" spans="1:11" ht="15">
      <c r="A1" s="1"/>
      <c r="B1" s="1"/>
      <c r="C1" s="1"/>
      <c r="D1" s="1"/>
      <c r="E1" s="1"/>
      <c r="F1" s="1"/>
      <c r="G1" s="1"/>
      <c r="H1" s="1"/>
      <c r="I1" s="1"/>
      <c r="J1" s="157" t="s">
        <v>240</v>
      </c>
      <c r="K1" s="1"/>
    </row>
    <row r="2" spans="1:11" ht="15">
      <c r="A2" s="1"/>
      <c r="B2" s="1"/>
      <c r="C2" s="1"/>
      <c r="D2" s="1"/>
      <c r="E2" s="1"/>
      <c r="F2" s="1"/>
      <c r="G2" s="1"/>
      <c r="H2" s="1"/>
      <c r="I2" s="1"/>
      <c r="J2" s="1"/>
      <c r="K2" s="1"/>
    </row>
    <row r="3" spans="1:11" ht="15">
      <c r="A3" s="1"/>
      <c r="B3" s="1"/>
      <c r="C3" s="1"/>
      <c r="D3" s="1"/>
      <c r="E3" s="1"/>
      <c r="F3" s="1"/>
      <c r="G3" s="1"/>
      <c r="H3" s="1"/>
      <c r="I3" s="1"/>
      <c r="J3" s="1"/>
      <c r="K3" s="1"/>
    </row>
    <row r="4" spans="1:11" ht="15">
      <c r="A4" s="1"/>
      <c r="B4" s="1"/>
      <c r="C4" s="1"/>
      <c r="D4" s="1"/>
      <c r="E4" s="1"/>
      <c r="F4" s="1"/>
      <c r="G4" s="1"/>
      <c r="H4" s="1"/>
      <c r="I4" s="1"/>
      <c r="J4" s="1"/>
      <c r="K4" s="1"/>
    </row>
    <row r="5" spans="1:11" ht="15">
      <c r="A5" s="158"/>
      <c r="B5" s="1"/>
      <c r="C5" s="1"/>
      <c r="D5" s="157"/>
      <c r="E5" s="6" t="s">
        <v>241</v>
      </c>
      <c r="F5" s="157"/>
      <c r="G5" s="157"/>
      <c r="H5" s="1"/>
      <c r="I5" s="157"/>
      <c r="J5" s="157"/>
      <c r="K5" s="157"/>
    </row>
    <row r="6" spans="1:11" ht="15">
      <c r="A6" s="158"/>
      <c r="B6" s="1"/>
      <c r="C6" s="1"/>
      <c r="D6" s="157"/>
      <c r="E6" s="159" t="s">
        <v>242</v>
      </c>
      <c r="F6" s="160"/>
      <c r="G6" s="160"/>
      <c r="H6" s="1"/>
      <c r="I6" s="160"/>
      <c r="J6" s="160"/>
      <c r="K6" s="160"/>
    </row>
    <row r="7" spans="1:11" ht="15">
      <c r="A7" s="158"/>
      <c r="B7" s="1"/>
      <c r="C7" s="161"/>
      <c r="D7" s="161"/>
      <c r="E7" s="37" t="s">
        <v>243</v>
      </c>
      <c r="F7" s="161"/>
      <c r="G7" s="161"/>
      <c r="H7" s="1"/>
      <c r="I7" s="161"/>
      <c r="J7" s="161"/>
      <c r="K7" s="161"/>
    </row>
    <row r="8" spans="1:11" ht="15">
      <c r="A8" s="162"/>
      <c r="B8" s="1"/>
      <c r="C8" s="1"/>
      <c r="D8" s="1"/>
      <c r="E8" s="163"/>
      <c r="F8" s="163"/>
      <c r="G8" s="163"/>
      <c r="H8" s="1"/>
      <c r="I8" s="161"/>
      <c r="J8" s="161"/>
      <c r="K8" s="161"/>
    </row>
    <row r="9" spans="1:11" ht="15">
      <c r="A9" s="158"/>
      <c r="B9" s="1"/>
      <c r="C9" s="1"/>
      <c r="D9" s="1"/>
      <c r="E9" s="1"/>
      <c r="F9" s="1"/>
      <c r="G9" s="1"/>
      <c r="H9" s="1"/>
      <c r="I9" s="1"/>
      <c r="J9" s="1"/>
      <c r="K9" s="4"/>
    </row>
    <row r="10" spans="1:11" ht="15">
      <c r="A10" s="158"/>
      <c r="B10" s="1"/>
      <c r="C10" s="1"/>
      <c r="D10" s="1041" t="s">
        <v>244</v>
      </c>
      <c r="E10" s="1042"/>
      <c r="F10" s="164"/>
      <c r="G10" s="165" t="s">
        <v>245</v>
      </c>
      <c r="H10" s="164"/>
      <c r="I10" s="166"/>
      <c r="J10" s="166"/>
      <c r="K10" s="167"/>
    </row>
    <row r="11" spans="1:11" ht="15.75">
      <c r="A11" s="158">
        <v>1</v>
      </c>
      <c r="B11" s="1" t="s">
        <v>246</v>
      </c>
      <c r="C11" s="1"/>
      <c r="D11" s="1043" t="s">
        <v>247</v>
      </c>
      <c r="E11" s="1044"/>
      <c r="F11" s="168" t="s">
        <v>248</v>
      </c>
      <c r="G11" s="169" t="s">
        <v>249</v>
      </c>
      <c r="H11" s="168" t="s">
        <v>250</v>
      </c>
      <c r="I11" s="170"/>
      <c r="J11" s="170"/>
      <c r="K11" s="171"/>
    </row>
    <row r="12" spans="1:11" ht="15">
      <c r="A12" s="158">
        <v>2</v>
      </c>
      <c r="B12" s="172">
        <v>2019</v>
      </c>
      <c r="C12" s="1"/>
      <c r="D12" s="173"/>
      <c r="E12" s="173"/>
      <c r="F12" s="174">
        <v>3427426.5533078993</v>
      </c>
      <c r="G12" s="175"/>
      <c r="H12" s="173"/>
      <c r="I12" s="173"/>
      <c r="J12" s="173"/>
      <c r="K12" s="164"/>
    </row>
    <row r="13" spans="1:11" ht="15">
      <c r="A13" s="176"/>
      <c r="B13" s="177" t="s">
        <v>236</v>
      </c>
      <c r="C13" s="177" t="s">
        <v>238</v>
      </c>
      <c r="D13" s="169" t="s">
        <v>251</v>
      </c>
      <c r="E13" s="169" t="s">
        <v>252</v>
      </c>
      <c r="F13" s="165" t="s">
        <v>253</v>
      </c>
      <c r="G13" s="177" t="s">
        <v>254</v>
      </c>
      <c r="H13" s="178" t="s">
        <v>255</v>
      </c>
      <c r="I13" s="178" t="s">
        <v>256</v>
      </c>
      <c r="J13" s="178" t="s">
        <v>257</v>
      </c>
      <c r="K13" s="179" t="s">
        <v>258</v>
      </c>
    </row>
    <row r="14" spans="1:11" ht="15">
      <c r="A14" s="158"/>
      <c r="B14" s="173"/>
      <c r="C14" s="165"/>
      <c r="D14" s="165"/>
      <c r="E14" s="180" t="s">
        <v>259</v>
      </c>
      <c r="F14" s="165"/>
      <c r="G14" s="165"/>
      <c r="H14" s="173"/>
      <c r="I14" s="165"/>
      <c r="J14" s="173"/>
      <c r="K14" s="173"/>
    </row>
    <row r="15" spans="1:11" ht="15">
      <c r="A15" s="158"/>
      <c r="B15" s="175"/>
      <c r="C15" s="178"/>
      <c r="D15" s="178" t="s">
        <v>260</v>
      </c>
      <c r="E15" s="179" t="s">
        <v>20</v>
      </c>
      <c r="F15" s="178" t="s">
        <v>261</v>
      </c>
      <c r="G15" s="178" t="s">
        <v>262</v>
      </c>
      <c r="H15" s="178" t="s">
        <v>263</v>
      </c>
      <c r="I15" s="178"/>
      <c r="J15" s="178" t="s">
        <v>264</v>
      </c>
      <c r="K15" s="178"/>
    </row>
    <row r="16" spans="1:11" ht="15">
      <c r="A16" s="158"/>
      <c r="B16" s="178" t="s">
        <v>265</v>
      </c>
      <c r="C16" s="178"/>
      <c r="D16" s="178" t="s">
        <v>266</v>
      </c>
      <c r="E16" s="179" t="s">
        <v>267</v>
      </c>
      <c r="F16" s="178" t="s">
        <v>268</v>
      </c>
      <c r="G16" s="178" t="s">
        <v>266</v>
      </c>
      <c r="H16" s="178" t="s">
        <v>269</v>
      </c>
      <c r="I16" s="165" t="s">
        <v>270</v>
      </c>
      <c r="J16" s="178" t="s">
        <v>271</v>
      </c>
      <c r="K16" s="178" t="s">
        <v>272</v>
      </c>
    </row>
    <row r="17" spans="1:11" ht="15.75">
      <c r="A17" s="158"/>
      <c r="B17" s="169" t="s">
        <v>273</v>
      </c>
      <c r="C17" s="169" t="s">
        <v>274</v>
      </c>
      <c r="D17" s="169" t="s">
        <v>275</v>
      </c>
      <c r="E17" s="179" t="s">
        <v>249</v>
      </c>
      <c r="F17" s="181" t="s">
        <v>276</v>
      </c>
      <c r="G17" s="169" t="s">
        <v>277</v>
      </c>
      <c r="H17" s="169" t="s">
        <v>278</v>
      </c>
      <c r="I17" s="178" t="s">
        <v>279</v>
      </c>
      <c r="J17" s="169" t="s">
        <v>280</v>
      </c>
      <c r="K17" s="169" t="s">
        <v>281</v>
      </c>
    </row>
    <row r="18" spans="1:11" ht="15">
      <c r="A18" s="158">
        <v>3</v>
      </c>
      <c r="B18" s="182" t="s">
        <v>282</v>
      </c>
      <c r="C18" s="182" t="s">
        <v>283</v>
      </c>
      <c r="D18" s="183">
        <v>3427426.5533078993</v>
      </c>
      <c r="E18" s="184">
        <f>IF(D$39=0,0,D18/D$39)</f>
        <v>1</v>
      </c>
      <c r="F18" s="185">
        <f>IF(F$12=0,0,E18*F$12)</f>
        <v>3427426.5533078993</v>
      </c>
      <c r="G18" s="186">
        <v>4744871.1011412926</v>
      </c>
      <c r="H18" s="187">
        <f t="shared" si="0" ref="H18:H37">+G18-F18</f>
        <v>1317444.5478333933</v>
      </c>
      <c r="I18" s="188">
        <v>0</v>
      </c>
      <c r="J18" s="187">
        <f t="shared" si="1" ref="J18:J37">(H18+I18)*((J$41/12)*24)</f>
        <v>129184.84823326301</v>
      </c>
      <c r="K18" s="187">
        <f>+H18+J18+I18</f>
        <v>1446629.3960666563</v>
      </c>
    </row>
    <row r="19" spans="1:11" ht="15">
      <c r="A19" s="158" t="s">
        <v>284</v>
      </c>
      <c r="B19" s="182"/>
      <c r="C19" s="182"/>
      <c r="D19" s="189">
        <v>0</v>
      </c>
      <c r="E19" s="190">
        <f t="shared" si="2" ref="E19:E37">IF(D$39=0,0,D19/D$39)</f>
        <v>0</v>
      </c>
      <c r="F19" s="185">
        <f t="shared" si="3" ref="F19:F37">IF(F$12=0,0,E19*F$12)</f>
        <v>0</v>
      </c>
      <c r="G19" s="191">
        <v>0</v>
      </c>
      <c r="H19" s="192">
        <f t="shared" si="0"/>
        <v>0</v>
      </c>
      <c r="I19" s="193">
        <v>0</v>
      </c>
      <c r="J19" s="187">
        <f t="shared" si="1"/>
        <v>0</v>
      </c>
      <c r="K19" s="187">
        <f t="shared" si="4" ref="K19:K37">+H19+J19+I19</f>
        <v>0</v>
      </c>
    </row>
    <row r="20" spans="1:11" ht="15">
      <c r="A20" s="158" t="s">
        <v>285</v>
      </c>
      <c r="B20" s="182"/>
      <c r="C20" s="182"/>
      <c r="D20" s="189">
        <v>0</v>
      </c>
      <c r="E20" s="190">
        <f t="shared" si="2"/>
        <v>0</v>
      </c>
      <c r="F20" s="185">
        <f t="shared" si="3"/>
        <v>0</v>
      </c>
      <c r="G20" s="191">
        <v>0</v>
      </c>
      <c r="H20" s="192">
        <f t="shared" si="0"/>
        <v>0</v>
      </c>
      <c r="I20" s="193">
        <v>0</v>
      </c>
      <c r="J20" s="187">
        <f t="shared" si="1"/>
        <v>0</v>
      </c>
      <c r="K20" s="187">
        <f t="shared" si="4"/>
        <v>0</v>
      </c>
    </row>
    <row r="21" spans="1:11" ht="15">
      <c r="A21" s="158" t="s">
        <v>286</v>
      </c>
      <c r="B21" s="182"/>
      <c r="C21" s="182"/>
      <c r="D21" s="189">
        <v>0</v>
      </c>
      <c r="E21" s="190">
        <f t="shared" si="2"/>
        <v>0</v>
      </c>
      <c r="F21" s="185">
        <f t="shared" si="3"/>
        <v>0</v>
      </c>
      <c r="G21" s="191">
        <v>0</v>
      </c>
      <c r="H21" s="192">
        <f t="shared" si="0"/>
        <v>0</v>
      </c>
      <c r="I21" s="193">
        <v>0</v>
      </c>
      <c r="J21" s="187">
        <f t="shared" si="1"/>
        <v>0</v>
      </c>
      <c r="K21" s="187">
        <f t="shared" si="4"/>
        <v>0</v>
      </c>
    </row>
    <row r="22" spans="1:11" ht="15">
      <c r="A22" s="158"/>
      <c r="B22" s="182"/>
      <c r="C22" s="182"/>
      <c r="D22" s="189">
        <v>0</v>
      </c>
      <c r="E22" s="190">
        <f t="shared" si="2"/>
        <v>0</v>
      </c>
      <c r="F22" s="185">
        <f t="shared" si="3"/>
        <v>0</v>
      </c>
      <c r="G22" s="191">
        <v>0</v>
      </c>
      <c r="H22" s="192">
        <f t="shared" si="0"/>
        <v>0</v>
      </c>
      <c r="I22" s="193">
        <v>0</v>
      </c>
      <c r="J22" s="187">
        <f t="shared" si="1"/>
        <v>0</v>
      </c>
      <c r="K22" s="187">
        <f t="shared" si="4"/>
        <v>0</v>
      </c>
    </row>
    <row r="23" spans="1:11" ht="15">
      <c r="A23" s="158"/>
      <c r="B23" s="182"/>
      <c r="C23" s="182"/>
      <c r="D23" s="189">
        <v>0</v>
      </c>
      <c r="E23" s="190">
        <f t="shared" si="2"/>
        <v>0</v>
      </c>
      <c r="F23" s="185">
        <f t="shared" si="3"/>
        <v>0</v>
      </c>
      <c r="G23" s="191">
        <v>0</v>
      </c>
      <c r="H23" s="192">
        <f t="shared" si="0"/>
        <v>0</v>
      </c>
      <c r="I23" s="193">
        <v>0</v>
      </c>
      <c r="J23" s="187">
        <f t="shared" si="1"/>
        <v>0</v>
      </c>
      <c r="K23" s="187">
        <f t="shared" si="4"/>
        <v>0</v>
      </c>
    </row>
    <row r="24" spans="1:11" ht="15">
      <c r="A24" s="158"/>
      <c r="B24" s="182"/>
      <c r="C24" s="182"/>
      <c r="D24" s="189">
        <v>0</v>
      </c>
      <c r="E24" s="190">
        <f t="shared" si="2"/>
        <v>0</v>
      </c>
      <c r="F24" s="185">
        <f t="shared" si="3"/>
        <v>0</v>
      </c>
      <c r="G24" s="191">
        <v>0</v>
      </c>
      <c r="H24" s="192">
        <f t="shared" si="0"/>
        <v>0</v>
      </c>
      <c r="I24" s="193">
        <v>0</v>
      </c>
      <c r="J24" s="187">
        <f t="shared" si="1"/>
        <v>0</v>
      </c>
      <c r="K24" s="187">
        <f t="shared" si="4"/>
        <v>0</v>
      </c>
    </row>
    <row r="25" spans="1:11" ht="15">
      <c r="A25" s="158"/>
      <c r="B25" s="182"/>
      <c r="C25" s="182"/>
      <c r="D25" s="189">
        <v>0</v>
      </c>
      <c r="E25" s="190">
        <f t="shared" si="2"/>
        <v>0</v>
      </c>
      <c r="F25" s="185">
        <f t="shared" si="3"/>
        <v>0</v>
      </c>
      <c r="G25" s="191">
        <v>0</v>
      </c>
      <c r="H25" s="192">
        <f t="shared" si="0"/>
        <v>0</v>
      </c>
      <c r="I25" s="193">
        <v>0</v>
      </c>
      <c r="J25" s="187">
        <f t="shared" si="1"/>
        <v>0</v>
      </c>
      <c r="K25" s="187">
        <f t="shared" si="4"/>
        <v>0</v>
      </c>
    </row>
    <row r="26" spans="1:11" ht="15">
      <c r="A26" s="158"/>
      <c r="B26" s="182"/>
      <c r="C26" s="182"/>
      <c r="D26" s="189">
        <v>0</v>
      </c>
      <c r="E26" s="190">
        <f t="shared" si="2"/>
        <v>0</v>
      </c>
      <c r="F26" s="185">
        <f t="shared" si="3"/>
        <v>0</v>
      </c>
      <c r="G26" s="191">
        <v>0</v>
      </c>
      <c r="H26" s="192">
        <f t="shared" si="0"/>
        <v>0</v>
      </c>
      <c r="I26" s="193">
        <v>0</v>
      </c>
      <c r="J26" s="187">
        <f t="shared" si="1"/>
        <v>0</v>
      </c>
      <c r="K26" s="187">
        <f t="shared" si="4"/>
        <v>0</v>
      </c>
    </row>
    <row r="27" spans="1:11" ht="15">
      <c r="A27" s="158"/>
      <c r="B27" s="182"/>
      <c r="C27" s="182"/>
      <c r="D27" s="189">
        <v>0</v>
      </c>
      <c r="E27" s="190">
        <f t="shared" si="2"/>
        <v>0</v>
      </c>
      <c r="F27" s="185">
        <f t="shared" si="3"/>
        <v>0</v>
      </c>
      <c r="G27" s="191">
        <v>0</v>
      </c>
      <c r="H27" s="192">
        <f t="shared" si="0"/>
        <v>0</v>
      </c>
      <c r="I27" s="193">
        <v>0</v>
      </c>
      <c r="J27" s="187">
        <f t="shared" si="1"/>
        <v>0</v>
      </c>
      <c r="K27" s="187">
        <f t="shared" si="4"/>
        <v>0</v>
      </c>
    </row>
    <row r="28" spans="1:11" ht="15">
      <c r="A28" s="158"/>
      <c r="B28" s="182"/>
      <c r="C28" s="182"/>
      <c r="D28" s="189">
        <v>0</v>
      </c>
      <c r="E28" s="190">
        <f t="shared" si="2"/>
        <v>0</v>
      </c>
      <c r="F28" s="185">
        <f t="shared" si="3"/>
        <v>0</v>
      </c>
      <c r="G28" s="191">
        <v>0</v>
      </c>
      <c r="H28" s="192">
        <f t="shared" si="0"/>
        <v>0</v>
      </c>
      <c r="I28" s="193">
        <v>0</v>
      </c>
      <c r="J28" s="187">
        <f t="shared" si="1"/>
        <v>0</v>
      </c>
      <c r="K28" s="187">
        <f t="shared" si="4"/>
        <v>0</v>
      </c>
    </row>
    <row r="29" spans="1:11" ht="15">
      <c r="A29" s="158"/>
      <c r="B29" s="182"/>
      <c r="C29" s="182"/>
      <c r="D29" s="189">
        <v>0</v>
      </c>
      <c r="E29" s="190">
        <f t="shared" si="2"/>
        <v>0</v>
      </c>
      <c r="F29" s="185">
        <f t="shared" si="3"/>
        <v>0</v>
      </c>
      <c r="G29" s="191">
        <v>0</v>
      </c>
      <c r="H29" s="192">
        <f t="shared" si="0"/>
        <v>0</v>
      </c>
      <c r="I29" s="193">
        <v>0</v>
      </c>
      <c r="J29" s="187">
        <f t="shared" si="1"/>
        <v>0</v>
      </c>
      <c r="K29" s="187">
        <f t="shared" si="4"/>
        <v>0</v>
      </c>
    </row>
    <row r="30" spans="1:11" ht="15">
      <c r="A30" s="158"/>
      <c r="B30" s="182"/>
      <c r="C30" s="182"/>
      <c r="D30" s="189">
        <v>0</v>
      </c>
      <c r="E30" s="190">
        <f t="shared" si="2"/>
        <v>0</v>
      </c>
      <c r="F30" s="185">
        <f t="shared" si="3"/>
        <v>0</v>
      </c>
      <c r="G30" s="191">
        <v>0</v>
      </c>
      <c r="H30" s="192">
        <f t="shared" si="0"/>
        <v>0</v>
      </c>
      <c r="I30" s="193">
        <v>0</v>
      </c>
      <c r="J30" s="187">
        <f t="shared" si="1"/>
        <v>0</v>
      </c>
      <c r="K30" s="187">
        <f t="shared" si="4"/>
        <v>0</v>
      </c>
    </row>
    <row r="31" spans="1:11" ht="15">
      <c r="A31" s="158"/>
      <c r="B31" s="182"/>
      <c r="C31" s="182"/>
      <c r="D31" s="189">
        <v>0</v>
      </c>
      <c r="E31" s="190">
        <f t="shared" si="2"/>
        <v>0</v>
      </c>
      <c r="F31" s="185">
        <f t="shared" si="3"/>
        <v>0</v>
      </c>
      <c r="G31" s="191">
        <v>0</v>
      </c>
      <c r="H31" s="192">
        <f t="shared" si="0"/>
        <v>0</v>
      </c>
      <c r="I31" s="193">
        <v>0</v>
      </c>
      <c r="J31" s="187">
        <f t="shared" si="1"/>
        <v>0</v>
      </c>
      <c r="K31" s="187">
        <f t="shared" si="4"/>
        <v>0</v>
      </c>
    </row>
    <row r="32" spans="1:11" ht="15">
      <c r="A32" s="158"/>
      <c r="B32" s="182"/>
      <c r="C32" s="182"/>
      <c r="D32" s="189">
        <v>0</v>
      </c>
      <c r="E32" s="190">
        <f t="shared" si="2"/>
        <v>0</v>
      </c>
      <c r="F32" s="185">
        <f t="shared" si="3"/>
        <v>0</v>
      </c>
      <c r="G32" s="191">
        <v>0</v>
      </c>
      <c r="H32" s="192">
        <f t="shared" si="0"/>
        <v>0</v>
      </c>
      <c r="I32" s="193">
        <v>0</v>
      </c>
      <c r="J32" s="187">
        <f t="shared" si="1"/>
        <v>0</v>
      </c>
      <c r="K32" s="187">
        <f t="shared" si="4"/>
        <v>0</v>
      </c>
    </row>
    <row r="33" spans="1:11" ht="15">
      <c r="A33" s="158"/>
      <c r="B33" s="182"/>
      <c r="C33" s="182"/>
      <c r="D33" s="189">
        <v>0</v>
      </c>
      <c r="E33" s="190">
        <f t="shared" si="2"/>
        <v>0</v>
      </c>
      <c r="F33" s="185">
        <f t="shared" si="3"/>
        <v>0</v>
      </c>
      <c r="G33" s="191">
        <v>0</v>
      </c>
      <c r="H33" s="192">
        <f t="shared" si="0"/>
        <v>0</v>
      </c>
      <c r="I33" s="193">
        <v>0</v>
      </c>
      <c r="J33" s="187">
        <f t="shared" si="1"/>
        <v>0</v>
      </c>
      <c r="K33" s="187">
        <f t="shared" si="4"/>
        <v>0</v>
      </c>
    </row>
    <row r="34" spans="1:11" ht="15">
      <c r="A34" s="158"/>
      <c r="B34" s="182"/>
      <c r="C34" s="182"/>
      <c r="D34" s="189">
        <v>0</v>
      </c>
      <c r="E34" s="190">
        <f t="shared" si="2"/>
        <v>0</v>
      </c>
      <c r="F34" s="185">
        <f t="shared" si="3"/>
        <v>0</v>
      </c>
      <c r="G34" s="191">
        <v>0</v>
      </c>
      <c r="H34" s="192">
        <f t="shared" si="0"/>
        <v>0</v>
      </c>
      <c r="I34" s="193">
        <v>0</v>
      </c>
      <c r="J34" s="187">
        <f t="shared" si="1"/>
        <v>0</v>
      </c>
      <c r="K34" s="187">
        <f t="shared" si="4"/>
        <v>0</v>
      </c>
    </row>
    <row r="35" spans="1:11" ht="15">
      <c r="A35" s="158"/>
      <c r="B35" s="182"/>
      <c r="C35" s="182"/>
      <c r="D35" s="189">
        <v>0</v>
      </c>
      <c r="E35" s="190">
        <f t="shared" si="2"/>
        <v>0</v>
      </c>
      <c r="F35" s="185">
        <f t="shared" si="3"/>
        <v>0</v>
      </c>
      <c r="G35" s="191">
        <v>0</v>
      </c>
      <c r="H35" s="192">
        <f t="shared" si="0"/>
        <v>0</v>
      </c>
      <c r="I35" s="193">
        <v>0</v>
      </c>
      <c r="J35" s="187">
        <f t="shared" si="1"/>
        <v>0</v>
      </c>
      <c r="K35" s="187">
        <f t="shared" si="4"/>
        <v>0</v>
      </c>
    </row>
    <row r="36" spans="1:11" ht="15">
      <c r="A36" s="158"/>
      <c r="B36" s="182"/>
      <c r="C36" s="182"/>
      <c r="D36" s="189">
        <v>0</v>
      </c>
      <c r="E36" s="190">
        <f t="shared" si="2"/>
        <v>0</v>
      </c>
      <c r="F36" s="185">
        <f t="shared" si="3"/>
        <v>0</v>
      </c>
      <c r="G36" s="191">
        <v>0</v>
      </c>
      <c r="H36" s="192">
        <f t="shared" si="0"/>
        <v>0</v>
      </c>
      <c r="I36" s="193">
        <v>0</v>
      </c>
      <c r="J36" s="187">
        <f t="shared" si="1"/>
        <v>0</v>
      </c>
      <c r="K36" s="187">
        <f t="shared" si="4"/>
        <v>0</v>
      </c>
    </row>
    <row r="37" spans="1:11" ht="15">
      <c r="A37" s="158"/>
      <c r="B37" s="182"/>
      <c r="C37" s="182"/>
      <c r="D37" s="189">
        <v>0</v>
      </c>
      <c r="E37" s="190">
        <f t="shared" si="2"/>
        <v>0</v>
      </c>
      <c r="F37" s="185">
        <f t="shared" si="3"/>
        <v>0</v>
      </c>
      <c r="G37" s="191">
        <v>0</v>
      </c>
      <c r="H37" s="192">
        <f t="shared" si="0"/>
        <v>0</v>
      </c>
      <c r="I37" s="193">
        <v>0</v>
      </c>
      <c r="J37" s="187">
        <f t="shared" si="1"/>
        <v>0</v>
      </c>
      <c r="K37" s="187">
        <f t="shared" si="4"/>
        <v>0</v>
      </c>
    </row>
    <row r="38" spans="1:11" ht="15">
      <c r="A38" s="158"/>
      <c r="B38" s="194"/>
      <c r="C38" s="194"/>
      <c r="D38" s="195"/>
      <c r="E38" s="196"/>
      <c r="F38" s="197"/>
      <c r="G38" s="198"/>
      <c r="H38" s="199"/>
      <c r="I38" s="194"/>
      <c r="J38" s="199"/>
      <c r="K38" s="199"/>
    </row>
    <row r="39" spans="1:11" ht="15">
      <c r="A39" s="158">
        <v>4</v>
      </c>
      <c r="B39" s="1" t="s">
        <v>287</v>
      </c>
      <c r="C39" s="1"/>
      <c r="D39" s="5">
        <f t="shared" si="5" ref="D39:F39">SUM(D18:D38)</f>
        <v>3427426.5533078993</v>
      </c>
      <c r="E39" s="25">
        <f t="shared" si="5"/>
        <v>1</v>
      </c>
      <c r="F39" s="5">
        <f t="shared" si="5"/>
        <v>3427426.5533078993</v>
      </c>
      <c r="G39" s="5">
        <f>SUM(G18:G38)</f>
        <v>4744871.1011412926</v>
      </c>
      <c r="H39" s="5">
        <f>SUM(H18:H38)</f>
        <v>1317444.5478333933</v>
      </c>
      <c r="I39" s="25"/>
      <c r="J39" s="5">
        <f>SUM(J18:J38)</f>
        <v>129184.84823326301</v>
      </c>
      <c r="K39" s="5">
        <f>SUM(K18:K38)</f>
        <v>1446629.3960666563</v>
      </c>
    </row>
    <row r="40" spans="1:11" ht="15">
      <c r="A40" s="158"/>
      <c r="B40" s="1"/>
      <c r="C40" s="1"/>
      <c r="D40" s="25"/>
      <c r="E40" s="25"/>
      <c r="F40" s="25"/>
      <c r="G40" s="25"/>
      <c r="H40" s="25"/>
      <c r="I40" s="25"/>
      <c r="J40" s="25"/>
      <c r="K40" s="25"/>
    </row>
    <row r="41" spans="1:11" ht="15">
      <c r="A41" s="158"/>
      <c r="B41" s="1"/>
      <c r="C41" s="1"/>
      <c r="D41" s="25"/>
      <c r="E41" s="25"/>
      <c r="F41" s="25"/>
      <c r="G41" s="25" t="s">
        <v>288</v>
      </c>
      <c r="H41" s="25"/>
      <c r="I41" s="25"/>
      <c r="J41" s="200">
        <v>0.049028571428571421</v>
      </c>
      <c r="K41" s="25"/>
    </row>
    <row r="42" spans="1:11" ht="15">
      <c r="A42" s="158"/>
      <c r="B42" s="1"/>
      <c r="C42" s="1"/>
      <c r="D42" s="25"/>
      <c r="E42" s="25"/>
      <c r="F42" s="25"/>
      <c r="G42" s="25" t="s">
        <v>289</v>
      </c>
      <c r="H42" s="25"/>
      <c r="I42" s="25"/>
      <c r="J42" s="5">
        <f>+J39</f>
        <v>129184.84823326301</v>
      </c>
      <c r="K42" s="25"/>
    </row>
    <row r="43" spans="1:11" ht="15">
      <c r="A43" s="158"/>
      <c r="B43" s="1" t="s">
        <v>290</v>
      </c>
      <c r="C43" s="1"/>
      <c r="D43" s="1"/>
      <c r="E43" s="1"/>
      <c r="F43" s="1"/>
      <c r="G43" s="1"/>
      <c r="H43" s="1"/>
      <c r="I43" s="1"/>
      <c r="J43" s="1"/>
      <c r="K43" s="1"/>
    </row>
    <row r="44" spans="1:11" ht="15">
      <c r="A44" s="158"/>
      <c r="B44" s="1" t="s">
        <v>291</v>
      </c>
      <c r="C44" s="1"/>
      <c r="D44" s="1"/>
      <c r="E44" s="1"/>
      <c r="F44" s="1"/>
      <c r="G44" s="1"/>
      <c r="H44" s="1"/>
      <c r="I44" s="1"/>
      <c r="J44" s="1"/>
      <c r="K44" s="1"/>
    </row>
    <row r="45" spans="1:11" ht="15">
      <c r="A45" s="158"/>
      <c r="B45" s="1" t="s">
        <v>292</v>
      </c>
      <c r="C45" s="1"/>
      <c r="D45" s="1"/>
      <c r="E45" s="1"/>
      <c r="F45" s="1"/>
      <c r="G45" s="1"/>
      <c r="H45" s="1"/>
      <c r="I45" s="1"/>
      <c r="J45" s="1"/>
      <c r="K45" s="1"/>
    </row>
    <row r="46" spans="1:11" ht="15">
      <c r="A46" s="158"/>
      <c r="B46" s="1" t="s">
        <v>293</v>
      </c>
      <c r="C46" s="1"/>
      <c r="D46" s="1"/>
      <c r="E46" s="1"/>
      <c r="F46" s="1"/>
      <c r="G46" s="1"/>
      <c r="H46" s="1"/>
      <c r="I46" s="1"/>
      <c r="J46" s="1"/>
      <c r="K46" s="1"/>
    </row>
    <row r="47" spans="1:11" ht="15">
      <c r="A47" s="158"/>
      <c r="B47" s="1" t="s">
        <v>294</v>
      </c>
      <c r="C47" s="1"/>
      <c r="D47" s="1"/>
      <c r="E47" s="1"/>
      <c r="F47" s="1"/>
      <c r="G47" s="1"/>
      <c r="H47" s="1"/>
      <c r="I47" s="1"/>
      <c r="J47" s="1"/>
      <c r="K47" s="1"/>
    </row>
    <row r="48" spans="1:11" ht="15">
      <c r="A48" s="158"/>
      <c r="B48" s="1" t="s">
        <v>295</v>
      </c>
      <c r="C48" s="1"/>
      <c r="D48" s="1"/>
      <c r="E48" s="1"/>
      <c r="F48" s="1"/>
      <c r="G48" s="1"/>
      <c r="H48" s="1"/>
      <c r="I48" s="1"/>
      <c r="J48" s="1"/>
      <c r="K48" s="1"/>
    </row>
    <row r="49" spans="1:11" ht="15">
      <c r="A49" s="158"/>
      <c r="B49" s="1" t="s">
        <v>296</v>
      </c>
      <c r="C49" s="1"/>
      <c r="D49" s="1"/>
      <c r="E49" s="1"/>
      <c r="F49" s="1"/>
      <c r="G49" s="1"/>
      <c r="H49" s="1"/>
      <c r="I49" s="1"/>
      <c r="J49" s="1"/>
      <c r="K49" s="1"/>
    </row>
    <row r="52" spans="1:11" ht="15">
      <c r="A52" s="201" t="s">
        <v>297</v>
      </c>
      <c r="B52" s="1"/>
      <c r="C52" s="1"/>
      <c r="D52" s="25"/>
      <c r="E52" s="25"/>
      <c r="F52" s="25"/>
      <c r="G52" s="25"/>
      <c r="H52" s="25"/>
      <c r="I52" s="1"/>
      <c r="J52" s="1"/>
      <c r="K52" s="1"/>
    </row>
    <row r="53" spans="1:11" ht="15">
      <c r="A53" s="158"/>
      <c r="B53" s="4" t="s">
        <v>197</v>
      </c>
      <c r="C53" s="202" t="s">
        <v>198</v>
      </c>
      <c r="D53" s="4" t="s">
        <v>199</v>
      </c>
      <c r="E53" s="4" t="s">
        <v>200</v>
      </c>
      <c r="F53" s="4"/>
      <c r="G53" s="1"/>
      <c r="H53" s="1"/>
      <c r="I53" s="1"/>
      <c r="J53" s="1"/>
      <c r="K53" s="1"/>
    </row>
    <row r="54" spans="1:11" ht="15">
      <c r="A54" s="158"/>
      <c r="B54" s="180" t="str">
        <f>+A52</f>
        <v>Prior Period Adjustment</v>
      </c>
      <c r="C54" s="165" t="s">
        <v>179</v>
      </c>
      <c r="D54" s="165" t="s">
        <v>264</v>
      </c>
      <c r="E54" s="165" t="s">
        <v>20</v>
      </c>
      <c r="F54" s="1"/>
      <c r="G54" s="1"/>
      <c r="H54" s="1"/>
      <c r="I54" s="1"/>
      <c r="J54" s="1"/>
      <c r="K54" s="1"/>
    </row>
    <row r="55" spans="1:11" ht="15">
      <c r="A55" s="158"/>
      <c r="B55" s="179" t="s">
        <v>298</v>
      </c>
      <c r="C55" s="178" t="s">
        <v>299</v>
      </c>
      <c r="D55" s="178" t="s">
        <v>300</v>
      </c>
      <c r="E55" s="178" t="s">
        <v>301</v>
      </c>
      <c r="F55" s="1"/>
      <c r="G55" s="1"/>
      <c r="H55" s="1"/>
      <c r="I55" s="1"/>
      <c r="J55" s="1"/>
      <c r="K55" s="1"/>
    </row>
    <row r="56" spans="1:11" ht="15">
      <c r="A56" s="158" t="s">
        <v>302</v>
      </c>
      <c r="B56" s="203">
        <v>0</v>
      </c>
      <c r="C56" s="193">
        <v>0</v>
      </c>
      <c r="D56" s="193">
        <v>0</v>
      </c>
      <c r="E56" s="192">
        <f>+C56+D56</f>
        <v>0</v>
      </c>
      <c r="F56" s="1"/>
      <c r="G56" s="1"/>
      <c r="H56" s="1"/>
      <c r="I56" s="1"/>
      <c r="J56" s="1"/>
      <c r="K56" s="1"/>
    </row>
    <row r="57" spans="1:11" ht="15">
      <c r="A57" s="158">
        <v>6</v>
      </c>
      <c r="B57" s="204" t="s">
        <v>303</v>
      </c>
      <c r="C57" s="194"/>
      <c r="D57" s="169"/>
      <c r="E57" s="205"/>
      <c r="F57" s="1"/>
      <c r="G57" s="1"/>
      <c r="H57" s="1"/>
      <c r="I57" s="1"/>
      <c r="J57" s="1"/>
      <c r="K57" s="1"/>
    </row>
    <row r="58" spans="1:11" ht="15">
      <c r="A58" s="158"/>
      <c r="B58" s="1"/>
      <c r="C58" s="1"/>
      <c r="D58" s="1"/>
      <c r="E58" s="1"/>
      <c r="F58" s="1"/>
      <c r="G58" s="1"/>
      <c r="H58" s="5"/>
      <c r="I58" s="1"/>
      <c r="J58" s="1"/>
      <c r="K58" s="1"/>
    </row>
    <row r="59" spans="1:11" ht="15">
      <c r="A59" s="158"/>
      <c r="B59" s="1"/>
      <c r="C59" s="1"/>
      <c r="D59" s="206"/>
      <c r="E59" s="206"/>
      <c r="F59" s="206"/>
      <c r="G59" s="206"/>
      <c r="H59" s="206"/>
      <c r="I59" s="206"/>
      <c r="J59" s="1"/>
      <c r="K59" s="1"/>
    </row>
    <row r="60" spans="1:11" ht="67.5" customHeight="1">
      <c r="A60" s="207" t="s">
        <v>290</v>
      </c>
      <c r="B60" s="208" t="s">
        <v>236</v>
      </c>
      <c r="C60" s="1040" t="s">
        <v>304</v>
      </c>
      <c r="D60" s="1040"/>
      <c r="E60" s="1040"/>
      <c r="F60" s="1040"/>
      <c r="G60" s="1040"/>
      <c r="H60" s="1040"/>
      <c r="I60" s="1040"/>
      <c r="J60" s="1040"/>
      <c r="K60" s="1"/>
    </row>
    <row r="61" spans="1:11" ht="34.5" customHeight="1">
      <c r="A61" s="158"/>
      <c r="B61" s="155" t="s">
        <v>238</v>
      </c>
      <c r="C61" s="1040" t="s">
        <v>305</v>
      </c>
      <c r="D61" s="1040"/>
      <c r="E61" s="1040"/>
      <c r="F61" s="1040"/>
      <c r="G61" s="1040"/>
      <c r="H61" s="1040"/>
      <c r="I61" s="1040"/>
      <c r="J61" s="1"/>
      <c r="K61" s="1"/>
    </row>
    <row r="62" spans="2:9" ht="15">
      <c r="B62" s="155" t="s">
        <v>251</v>
      </c>
      <c r="C62" s="1040" t="s">
        <v>306</v>
      </c>
      <c r="D62" s="1040"/>
      <c r="E62" s="1040"/>
      <c r="F62" s="1040"/>
      <c r="G62" s="1040"/>
      <c r="H62" s="1040"/>
      <c r="I62" s="1040"/>
    </row>
  </sheetData>
  <mergeCells count="5">
    <mergeCell ref="D10:E10"/>
    <mergeCell ref="D11:E11"/>
    <mergeCell ref="C60:J60"/>
    <mergeCell ref="C61:I61"/>
    <mergeCell ref="C62:I62"/>
  </mergeCells>
  <pageMargins left="0.25" right="0.25" top="0.75" bottom="0.75" header="0.3" footer="0.3"/>
  <pageSetup orientation="landscape" scale="58"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24</vt:i4>
      </vt:variant>
    </vt:vector>
  </HeadingPairs>
  <TitlesOfParts>
    <vt:vector size="24" baseType="lpstr">
      <vt:lpstr>Attachment H</vt:lpstr>
      <vt:lpstr>1-Project Rev Req</vt:lpstr>
      <vt:lpstr>2-Incentive ROE</vt:lpstr>
      <vt:lpstr>3-Project True-up</vt:lpstr>
      <vt:lpstr>4- Rate Base</vt:lpstr>
      <vt:lpstr>5-P3 Support</vt:lpstr>
      <vt:lpstr>4a - ADIT Projection</vt:lpstr>
      <vt:lpstr>4b - ADIT Projection Proration</vt:lpstr>
      <vt:lpstr>4c - ADIT BOY</vt:lpstr>
      <vt:lpstr>4d - ADIT EOY</vt:lpstr>
      <vt:lpstr>4e - ADIT True-up</vt:lpstr>
      <vt:lpstr>4f - ADIT True-up Proration</vt:lpstr>
      <vt:lpstr>4g - Exc-Def ADIT Worksheet</vt:lpstr>
      <vt:lpstr>4h - ADIT Remeasurement</vt:lpstr>
      <vt:lpstr>6-True-Up Interest</vt:lpstr>
      <vt:lpstr>7 - PBOP</vt:lpstr>
      <vt:lpstr>8-Construction Loan</vt:lpstr>
      <vt:lpstr>9 - Const Loan True-up</vt:lpstr>
      <vt:lpstr>10-Dep Rates</vt:lpstr>
      <vt:lpstr>13 - Income Tax Allowance </vt:lpstr>
      <vt:lpstr>13a - Actual ownership</vt:lpstr>
      <vt:lpstr>11-Wholesale Distribution</vt:lpstr>
      <vt:lpstr>11a-Wholesale Distribution </vt:lpstr>
      <vt:lpstr>12 Wholesale Dist True-Up</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