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nee.sharepoint.com/teams/NEETATeamBusinessMgmt/Shared Documents/4. West Region/_GridLiance West/9. Federal Forms/Revenue Projections &amp; True-Ups/2027 Projection/"/>
    </mc:Choice>
  </mc:AlternateContent>
  <xr:revisionPtr revIDLastSave="31" documentId="8_{722AA6CC-0004-4324-9B4F-CFC94C68311C}" xr6:coauthVersionLast="47" xr6:coauthVersionMax="47" xr10:uidLastSave="{A6C0260D-012D-4FFE-BB9D-38EF6C1FD678}"/>
  <bookViews>
    <workbookView xWindow="28680" yWindow="-120" windowWidth="29040" windowHeight="15720" tabRatio="956" firstSheet="7" activeTab="1" xr2:uid="{DA922C94-A038-4907-A30C-D0749075F8D2}"/>
  </bookViews>
  <sheets>
    <sheet name="Index" sheetId="1" r:id="rId1"/>
    <sheet name="Appendix III" sheetId="2" r:id="rId2"/>
    <sheet name="1 - Revenue Credits" sheetId="3" r:id="rId3"/>
    <sheet name="2 - Cost Support " sheetId="4" r:id="rId4"/>
    <sheet name="2a - Cost Support" sheetId="5" r:id="rId5"/>
    <sheet name="2b - Cost Support" sheetId="6" r:id="rId6"/>
    <sheet name="3 - Incentives" sheetId="7" r:id="rId7"/>
    <sheet name="3a - Incentives" sheetId="8" r:id="rId8"/>
    <sheet name="4 - Cap Adds" sheetId="9" r:id="rId9"/>
    <sheet name="5 - True-Up" sheetId="10" r:id="rId10"/>
    <sheet name="6a-ADIT Projection" sheetId="11" r:id="rId11"/>
    <sheet name="6b-ADIT Projection Proration" sheetId="12" r:id="rId12"/>
    <sheet name="6c- ADIT BOY" sheetId="13" r:id="rId13"/>
    <sheet name="6d- ADIT EOY" sheetId="14" r:id="rId14"/>
    <sheet name="6e-ADIT True-up" sheetId="15" r:id="rId15"/>
    <sheet name="6f-ADIT True-up Proration" sheetId="16" r:id="rId16"/>
    <sheet name="7- Depreciation Rates" sheetId="17" r:id="rId17"/>
    <sheet name="8 - Future Use" sheetId="18" r:id="rId18"/>
    <sheet name="9 - Reg. Assets and Abnd Plnt" sheetId="19" r:id="rId19"/>
    <sheet name="10 - Unfunded Reserves" sheetId="20" r:id="rId20"/>
    <sheet name="11 - CWIP" sheetId="21" r:id="rId21"/>
    <sheet name="12 - Income Tax Adjustment" sheetId="22" r:id="rId22"/>
    <sheet name="WP1 - O&amp;M detail" sheetId="23" r:id="rId23"/>
    <sheet name="WP2 - A&amp;G detail" sheetId="24" r:id="rId24"/>
    <sheet name="WP3 - Cap Ex" sheetId="25" r:id="rId25"/>
    <sheet name="WP4 - Affiliate Allocations" sheetId="26" r:id="rId26"/>
    <sheet name="WP5 - Cost Allocation" sheetId="27" r:id="rId27"/>
  </sheets>
  <definedNames>
    <definedName name="\___C_._RIGHT_">#REF!</definedName>
    <definedName name="\0">#N/A</definedName>
    <definedName name="\1">#REF!</definedName>
    <definedName name="\b">#N/A</definedName>
    <definedName name="\C">#REF!</definedName>
    <definedName name="\D">#REF!</definedName>
    <definedName name="\E">#REF!</definedName>
    <definedName name="\f">#N/A</definedName>
    <definedName name="\m">#N/A</definedName>
    <definedName name="\p">#REF!</definedName>
    <definedName name="\S">#REF!</definedName>
    <definedName name="\sdf"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#N/A</definedName>
    <definedName name="\U">#REF!</definedName>
    <definedName name="\V">#REF!</definedName>
    <definedName name="\W">#REF!</definedName>
    <definedName name="_____dat1111">#REF!</definedName>
    <definedName name="____C_._DOWN_">#REF!</definedName>
    <definedName name="____dat1111">#REF!</definedName>
    <definedName name="____n4" hidden="1">{"EXCELHLP.HLP!1802";5;10;5;10;13;13;13;8;5;5;10;14;13;13;13;13;5;10;14;13;5;10;1;2;24}</definedName>
    <definedName name="___ASD2">#REF!</definedName>
    <definedName name="___dat1111">#REF!</definedName>
    <definedName name="___INDEX_SHEET___ASAP_Utilities">#REF!</definedName>
    <definedName name="___LYN2">#REF!</definedName>
    <definedName name="___n4" hidden="1">{"EXCELHLP.HLP!1802";5;10;5;10;13;13;13;8;5;5;10;14;13;13;13;13;5;10;14;13;5;10;1;2;24}</definedName>
    <definedName name="___Q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___RBN2">#REF!</definedName>
    <definedName name="___RBU2">#REF!</definedName>
    <definedName name="___WSH7">#REF!</definedName>
    <definedName name="__1__123Graph_ACHART_1" hidden="1">#REF!</definedName>
    <definedName name="__10__123Graph_XMKT_STOR" hidden="1">#REF!</definedName>
    <definedName name="__11__123Graph_XX_ACTUAL" hidden="1">#REF!</definedName>
    <definedName name="__123Graph_A" hidden="1">#REF!</definedName>
    <definedName name="__123Graph_A1991"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ACCMS" hidden="1">#REF!</definedName>
    <definedName name="__123Graph_ACCSP" hidden="1">#REF!</definedName>
    <definedName name="__123Graph_ACG" hidden="1">#REF!</definedName>
    <definedName name="__123Graph_ACM" hidden="1">#REF!</definedName>
    <definedName name="__123Graph_ACMS" hidden="1">#REF!</definedName>
    <definedName name="__123Graph_ACSP" hidden="1">#REF!</definedName>
    <definedName name="__123Graph_AHG" hidden="1">#REF!</definedName>
    <definedName name="__123Graph_AHMS" hidden="1">#REF!</definedName>
    <definedName name="__123Graph_AILL" hidden="1">#REF!</definedName>
    <definedName name="__123Graph_AIOWA" hidden="1">#REF!</definedName>
    <definedName name="__123Graph_AKEOTA" hidden="1">#REF!</definedName>
    <definedName name="__123Graph_ALOUD" hidden="1">#REF!</definedName>
    <definedName name="__123Graph_ANL" hidden="1">#REF!</definedName>
    <definedName name="__123Graph_ASAY" hidden="1">#REF!</definedName>
    <definedName name="__123Graph_ATOTSYS"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BCCMS" hidden="1">#REF!</definedName>
    <definedName name="__123Graph_BCCSP" hidden="1">#REF!</definedName>
    <definedName name="__123Graph_BCG" hidden="1">#REF!</definedName>
    <definedName name="__123Graph_BCM" hidden="1">#REF!</definedName>
    <definedName name="__123Graph_BCMS" hidden="1">#REF!</definedName>
    <definedName name="__123Graph_BCSP" hidden="1">#REF!</definedName>
    <definedName name="__123Graph_BHG" hidden="1">#REF!</definedName>
    <definedName name="__123Graph_BHMS" hidden="1">#REF!</definedName>
    <definedName name="__123Graph_BILL" hidden="1">#REF!</definedName>
    <definedName name="__123Graph_BIOWA" hidden="1">#REF!</definedName>
    <definedName name="__123Graph_BKEOTA" hidden="1">#REF!</definedName>
    <definedName name="__123Graph_BLOUD" hidden="1">#REF!</definedName>
    <definedName name="__123Graph_BNL" hidden="1">#REF!</definedName>
    <definedName name="__123Graph_BSAY" hidden="1">#REF!</definedName>
    <definedName name="__123Graph_BTOTSYS" hidden="1">#REF!</definedName>
    <definedName name="__123Graph_C" hidden="1">#REF!</definedName>
    <definedName name="__123Graph_CBAR" hidden="1">#REF!</definedName>
    <definedName name="__123Graph_CCCMS" hidden="1">#REF!</definedName>
    <definedName name="__123Graph_CCCSP" hidden="1">#REF!</definedName>
    <definedName name="__123Graph_CCG" hidden="1">#REF!</definedName>
    <definedName name="__123Graph_CCM" hidden="1">#REF!</definedName>
    <definedName name="__123Graph_CCMS" hidden="1">#REF!</definedName>
    <definedName name="__123Graph_CCSP" hidden="1">#REF!</definedName>
    <definedName name="__123Graph_CHG" hidden="1">#REF!</definedName>
    <definedName name="__123Graph_CHMS" hidden="1">#REF!</definedName>
    <definedName name="__123Graph_CILL" hidden="1">#REF!</definedName>
    <definedName name="__123Graph_CIOWA" hidden="1">#REF!</definedName>
    <definedName name="__123Graph_CKEOTA" hidden="1">#REF!</definedName>
    <definedName name="__123Graph_CLOUD" hidden="1">#REF!</definedName>
    <definedName name="__123Graph_CNL" hidden="1">#REF!</definedName>
    <definedName name="__123Graph_CSAY" hidden="1">#REF!</definedName>
    <definedName name="__123Graph_CTOTSYS" hidden="1">#REF!</definedName>
    <definedName name="__123Graph_D" hidden="1">#REF!</definedName>
    <definedName name="__123Graph_DBAR" hidden="1">#REF!</definedName>
    <definedName name="__123Graph_E" hidden="1">#REF!</definedName>
    <definedName name="__123Graph_EBAR" hidden="1">#REF!</definedName>
    <definedName name="__123Graph_F" hidden="1">#REF!</definedName>
    <definedName name="__123Graph_FBAR"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123Graph_XCCMS" hidden="1">#REF!</definedName>
    <definedName name="__123Graph_XCCSP" hidden="1">#REF!</definedName>
    <definedName name="__123Graph_XCG" hidden="1">#REF!</definedName>
    <definedName name="__123Graph_XCM" hidden="1">#REF!</definedName>
    <definedName name="__123Graph_XCMS" hidden="1">#REF!</definedName>
    <definedName name="__123Graph_XCSP" hidden="1">#REF!</definedName>
    <definedName name="__123Graph_XHG" hidden="1">#REF!</definedName>
    <definedName name="__123Graph_XHMS" hidden="1">#REF!</definedName>
    <definedName name="__123Graph_XILL" hidden="1">#REF!</definedName>
    <definedName name="__123Graph_XIOWA" hidden="1">#REF!</definedName>
    <definedName name="__123Graph_XKEOTA" hidden="1">#REF!</definedName>
    <definedName name="__123Graph_XLOUD" hidden="1">#REF!</definedName>
    <definedName name="__123Graph_XNL" hidden="1">#REF!</definedName>
    <definedName name="__123Graph_XSAY" hidden="1">#REF!</definedName>
    <definedName name="__123Graph_XTOTSYS" hidden="1">#REF!</definedName>
    <definedName name="__2__123Graph_AMKT_STOR" hidden="1">#REF!</definedName>
    <definedName name="__3__123Graph_AX_ACTUAL" hidden="1">#REF!</definedName>
    <definedName name="__4__123Graph_BCHART_1" hidden="1">#REF!</definedName>
    <definedName name="__5__123Graph_BMKT_STOR" hidden="1">#REF!</definedName>
    <definedName name="__6__123Graph_CCHART_1" hidden="1">#REF!</definedName>
    <definedName name="__7__123Graph_CMKT_STOR" hidden="1">#REF!</definedName>
    <definedName name="__8__123Graph_CX_ACTUAL" hidden="1">#REF!</definedName>
    <definedName name="__9__123Graph_XCHART_1" hidden="1">#REF!</definedName>
    <definedName name="__ASD2">#REF!</definedName>
    <definedName name="__CPK1">#REF!</definedName>
    <definedName name="__CPK2">#REF!</definedName>
    <definedName name="__CPK3">#REF!</definedName>
    <definedName name="__dat1111">#REF!</definedName>
    <definedName name="__EGR1">#N/A</definedName>
    <definedName name="__EGR2">#N/A</definedName>
    <definedName name="__EGR3">#N/A</definedName>
    <definedName name="__FDS_HYPERLINK_TOGGLE_STATE__" hidden="1">"ON"</definedName>
    <definedName name="__IntlFixup" hidden="1">TRUE</definedName>
    <definedName name="__LYN2">#REF!</definedName>
    <definedName name="__n4" hidden="1">{"EXCELHLP.HLP!1802";5;10;5;10;13;13;13;8;5;5;10;14;13;13;13;13;5;10;14;13;5;10;1;2;24}</definedName>
    <definedName name="__RBN2">#REF!</definedName>
    <definedName name="__RBU2">#REF!</definedName>
    <definedName name="__WSH7">#REF!</definedName>
    <definedName name="_1__123Graph_ACHART_1" hidden="1">#REF!</definedName>
    <definedName name="_10__123Graph_COP75_25PRICE" hidden="1">#N/A</definedName>
    <definedName name="_10__123Graph_XMKT_STOR" hidden="1">#REF!</definedName>
    <definedName name="_101__123Graph_BCHART_2" hidden="1">#REF!</definedName>
    <definedName name="_104__123Graph_BCHART_20" hidden="1">#REF!</definedName>
    <definedName name="_107__123Graph_BCHART_3" hidden="1">#REF!</definedName>
    <definedName name="_11__123Graph_COP75_25RETURN" hidden="1">#N/A</definedName>
    <definedName name="_11__123Graph_XX_ACTUAL" hidden="1">#REF!</definedName>
    <definedName name="_110__123Graph_BCHART_6" hidden="1">#REF!</definedName>
    <definedName name="_113__123Graph_BCHART_7" hidden="1">#REF!</definedName>
    <definedName name="_116__123Graph_BCHART_8" hidden="1">#REF!</definedName>
    <definedName name="_119__123Graph_BCHART_9" hidden="1">#REF!</definedName>
    <definedName name="_12__123Graph_DHO_MPRICE" hidden="1">#N/A</definedName>
    <definedName name="_122__123Graph_CCHART_1" hidden="1">#REF!</definedName>
    <definedName name="_123Graph_B.1" hidden="1">#REF!</definedName>
    <definedName name="_125__123Graph_CCHART_11" hidden="1">#REF!</definedName>
    <definedName name="_128__123Graph_CCHART_12" hidden="1">#REF!</definedName>
    <definedName name="_13__123Graph_DO_MPRICE" hidden="1">#N/A</definedName>
    <definedName name="_131__123Graph_CCHART_2" hidden="1">#REF!</definedName>
    <definedName name="_134__123Graph_CCHART_20" hidden="1">#REF!</definedName>
    <definedName name="_137__123Graph_CCHART_7" hidden="1">#REF!</definedName>
    <definedName name="_14__123Graph_DOP75_25PRICE" hidden="1">#N/A</definedName>
    <definedName name="_140__123Graph_CCHART_8" hidden="1">#REF!</definedName>
    <definedName name="_143__123Graph_DCHART_1" hidden="1">#REF!</definedName>
    <definedName name="_146__123Graph_DCHART_12" hidden="1">#REF!</definedName>
    <definedName name="_149__123Graph_DCHART_2" hidden="1">#REF!</definedName>
    <definedName name="_15__123Graph_DOP75_25RETURN" hidden="1">#N/A</definedName>
    <definedName name="_152__123Graph_DCHART_8" hidden="1">#REF!</definedName>
    <definedName name="_155__123Graph_ECHART_12" hidden="1">#REF!</definedName>
    <definedName name="_158__123Graph_ECHART_2" hidden="1">#REF!</definedName>
    <definedName name="_16__123Graph_EHO_MPRICE" hidden="1">#N/A</definedName>
    <definedName name="_161__123Graph_ECHART_8" hidden="1">#REF!</definedName>
    <definedName name="_164__123Graph_FCHART_1" hidden="1">#REF!</definedName>
    <definedName name="_167__123Graph_XCHART_10" hidden="1">#REF!</definedName>
    <definedName name="_17__123Graph_ACHART_1" hidden="1">#REF!</definedName>
    <definedName name="_17__123Graph_EO_MPRICE" hidden="1">#N/A</definedName>
    <definedName name="_170__123Graph_XCHART_11" hidden="1">#REF!</definedName>
    <definedName name="_173__123Graph_XCHART_12" hidden="1">#REF!</definedName>
    <definedName name="_176__123Graph_XCHART_13" hidden="1">#REF!</definedName>
    <definedName name="_179__123Graph_XCHART_14" hidden="1">#REF!</definedName>
    <definedName name="_18__123Graph_EOP75_25PRICE" hidden="1">#N/A</definedName>
    <definedName name="_182__123Graph_XCHART_15" hidden="1">#REF!</definedName>
    <definedName name="_185__123Graph_XCHART_16" hidden="1">#REF!</definedName>
    <definedName name="_188__123Graph_XCHART_18" hidden="1">#REF!</definedName>
    <definedName name="_19__123Graph_EOP75_25RETURN" hidden="1">#N/A</definedName>
    <definedName name="_191__123Graph_XCHART_2" hidden="1">#REF!</definedName>
    <definedName name="_194__123Graph_XCHART_20" hidden="1">#REF!</definedName>
    <definedName name="_197__123Graph_XCHART_3" hidden="1">#REF!</definedName>
    <definedName name="_1E_1">#N/A</definedName>
    <definedName name="_2__123Graph_AMKT_STOR" hidden="1">#REF!</definedName>
    <definedName name="_2__123Graph_AOP75_25PRICE" hidden="1">#N/A</definedName>
    <definedName name="_20__123Graph_ACHART_10" hidden="1">#REF!</definedName>
    <definedName name="_20__123Graph_FHO_MPRICE" hidden="1">#N/A</definedName>
    <definedName name="_200__123Graph_XCHART_4" hidden="1">#REF!</definedName>
    <definedName name="_2001E_EBITDA_Multiple">#N/A</definedName>
    <definedName name="_203__123Graph_XCHART_5" hidden="1">#REF!</definedName>
    <definedName name="_206__123Graph_XCHART_6" hidden="1">#REF!</definedName>
    <definedName name="_209__123Graph_XCHART_7" hidden="1">#REF!</definedName>
    <definedName name="_21__123Graph_FO_MPRICE" hidden="1">#N/A</definedName>
    <definedName name="_212__123Graph_XCHART_8" hidden="1">#REF!</definedName>
    <definedName name="_215__123Graph_XCHART_9" hidden="1">#REF!</definedName>
    <definedName name="_22__123Graph_FOP75_25PRICE" hidden="1">#N/A</definedName>
    <definedName name="_23__123Graph_ACHART_11" hidden="1">#REF!</definedName>
    <definedName name="_23__123Graph_FOP75_25RETURN" hidden="1">#N/A</definedName>
    <definedName name="_24__123Graph_XCHART_1" hidden="1">#N/A</definedName>
    <definedName name="_25__123Graph_XOP75_25PRICE" hidden="1">#N/A</definedName>
    <definedName name="_26__123Graph_ACHART_12" hidden="1">#REF!</definedName>
    <definedName name="_26__123Graph_XOP75_25RETURN" hidden="1">#N/A</definedName>
    <definedName name="_29__123Graph_ACHART_13" hidden="1">#REF!</definedName>
    <definedName name="_3__123Graph_AOP75_25RETURN" hidden="1">#N/A</definedName>
    <definedName name="_3__123Graph_AX_ACTUAL" hidden="1">#REF!</definedName>
    <definedName name="_31_Dec_00">#REF!</definedName>
    <definedName name="_31_Jan_01">#REF!</definedName>
    <definedName name="_32__123Graph_ACHART_14" hidden="1">#REF!</definedName>
    <definedName name="_35__123Graph_ACHART_15" hidden="1">#REF!</definedName>
    <definedName name="_38__123Graph_ACHART_16" hidden="1">#REF!</definedName>
    <definedName name="_4__123Graph_BCHART_1" hidden="1">#REF!</definedName>
    <definedName name="_41__123Graph_ACHART_17" hidden="1">#REF!</definedName>
    <definedName name="_44__123Graph_ACHART_18" hidden="1">#REF!</definedName>
    <definedName name="_47__123Graph_ACHART_19" hidden="1">#REF!</definedName>
    <definedName name="_5__123Graph_BMKT_STOR" hidden="1">#REF!</definedName>
    <definedName name="_5__123Graph_BOP75_25PRICE" hidden="1">#N/A</definedName>
    <definedName name="_50__123Graph_ACHART_2" hidden="1">#REF!</definedName>
    <definedName name="_53__123Graph_ACHART_20" hidden="1">#REF!</definedName>
    <definedName name="_56__123Graph_ACHART_3" hidden="1">#REF!</definedName>
    <definedName name="_59__123Graph_ACHART_4" hidden="1">#REF!</definedName>
    <definedName name="_6__123Graph_BOP75_25RETURN" hidden="1">#N/A</definedName>
    <definedName name="_6__123Graph_CCHART_1" hidden="1">#REF!</definedName>
    <definedName name="_62__123Graph_ACHART_5" hidden="1">#REF!</definedName>
    <definedName name="_65__123Graph_ACHART_6" hidden="1">#REF!</definedName>
    <definedName name="_68__123Graph_ACHART_7" hidden="1">#REF!</definedName>
    <definedName name="_7__123Graph_CCHART_1" hidden="1">#N/A</definedName>
    <definedName name="_7__123Graph_CMKT_STOR" hidden="1">#REF!</definedName>
    <definedName name="_71__123Graph_ACHART_8" hidden="1">#REF!</definedName>
    <definedName name="_74__123Graph_ACHART_9" hidden="1">#REF!</definedName>
    <definedName name="_77__123Graph_BCHART_1" hidden="1">#REF!</definedName>
    <definedName name="_8__123Graph_CHO_MPRICE" hidden="1">#N/A</definedName>
    <definedName name="_8__123Graph_CX_ACTUAL" hidden="1">#REF!</definedName>
    <definedName name="_80__123Graph_BCHART_11" hidden="1">#REF!</definedName>
    <definedName name="_83__123Graph_BCHART_12" hidden="1">#REF!</definedName>
    <definedName name="_86__123Graph_BCHART_13" hidden="1">#REF!</definedName>
    <definedName name="_89__123Graph_BCHART_14" hidden="1">#REF!</definedName>
    <definedName name="_9__123Graph_CO_MPRICE" hidden="1">#N/A</definedName>
    <definedName name="_9__123Graph_XCHART_1" hidden="1">#REF!</definedName>
    <definedName name="_92__123Graph_BCHART_15" hidden="1">#REF!</definedName>
    <definedName name="_95__123Graph_BCHART_16" hidden="1">#REF!</definedName>
    <definedName name="_98__123Graph_BCHART_17" hidden="1">#REF!</definedName>
    <definedName name="_a1111" hidden="1">{"Cash Budget",#N/A,FALSE,"98 Cash";"Running Cash Budget",#N/A,FALSE,"98 Cash";"Actual Cash",#N/A,FALSE,"98 Cash";"Update Cash Budget",#N/A,FALSE,"98 Cash"}</definedName>
    <definedName name="_AMO_UniqueIdentifier" hidden="1">"'8403d099-e876-4d31-b913-cb2efff0232f'"</definedName>
    <definedName name="_ASD2">#REF!</definedName>
    <definedName name="_ATPRegress_Dlg_Results" hidden="1">{2;#N/A;"R13C16:R17C16";#N/A;"R13C14:R17C15";FALSE;FALSE;FALSE;95;#N/A;#N/A;"R13C19";#N/A;FALSE;FALSE;FALSE;FALSE;#N/A;"";#N/A;FALSE;"";"";#N/A;#N/A;#N/A}</definedName>
    <definedName name="_ATPRegress_Dlg_Types" hidden="1">{"EXCELHLP.HLP!1802";5;10;5;10;13;13;13;8;5;5;10;14;13;13;13;13;5;10;14;13;5;10;1;2;24}</definedName>
    <definedName name="_ATPRegress_Range1" hidden="1">#REF!</definedName>
    <definedName name="_ATPRegress_Range2" hidden="1">#REF!</definedName>
    <definedName name="_ATPRegress_Range3" hidden="1">#REF!</definedName>
    <definedName name="_ATPRegress_Range4" hidden="1">"="</definedName>
    <definedName name="_ATPRegress_Range5" hidden="1">"="</definedName>
    <definedName name="_BAL1">#N/A</definedName>
    <definedName name="_BB1"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_bdm.37E2A9A526F14BE28438D0D77462415E.edm" hidden="1">#REF!</definedName>
    <definedName name="_bdm.67DB5193A043445CAC1F8C017AB81E09.edm" hidden="1">#REF!</definedName>
    <definedName name="_Check_Input">#REF!</definedName>
    <definedName name="_Checks">#REF!</definedName>
    <definedName name="_CPK1">#REF!</definedName>
    <definedName name="_CPK2">#REF!</definedName>
    <definedName name="_CPK3">#REF!</definedName>
    <definedName name="_CTG1">#N/A</definedName>
    <definedName name="_CTG2">#N/A</definedName>
    <definedName name="_CTG3">#N/A</definedName>
    <definedName name="_CTG4">#N/A</definedName>
    <definedName name="_CurrCase">#REF!</definedName>
    <definedName name="_dat1111">#REF!</definedName>
    <definedName name="_Data_Query">#REF!</definedName>
    <definedName name="_Data_Query2">#REF!</definedName>
    <definedName name="_DATE_87__?___?">#REF!</definedName>
    <definedName name="_Dist_Bin" hidden="1">#REF!</definedName>
    <definedName name="_Dist_Values" hidden="1">#REF!</definedName>
    <definedName name="_EGR1">#N/A</definedName>
    <definedName name="_EGR2">#N/A</definedName>
    <definedName name="_EGR3">#N/A</definedName>
    <definedName name="_End_Yr">#REF!</definedName>
    <definedName name="_EndYr2">#REF!</definedName>
    <definedName name="_FC_ID">#REF!</definedName>
    <definedName name="_FC_Query">#REF!</definedName>
    <definedName name="_FC_Table">#REF!</definedName>
    <definedName name="_FFO1">#N/A</definedName>
    <definedName name="_FFO2">#N/A</definedName>
    <definedName name="_FFO3">#N/A</definedName>
    <definedName name="_FFO4">#N/A</definedName>
    <definedName name="_Fill" localSheetId="10" hidden="1">#REF!</definedName>
    <definedName name="_Fill" localSheetId="11" hidden="1">#REF!</definedName>
    <definedName name="_Fill" localSheetId="14" hidden="1">#REF!</definedName>
    <definedName name="_Fill" localSheetId="15" hidden="1">#REF!</definedName>
    <definedName name="_Fill" localSheetId="26" hidden="1">#REF!</definedName>
    <definedName name="_Fill" hidden="1">#REF!</definedName>
    <definedName name="_Fill.1" hidden="1">#REF!</definedName>
    <definedName name="_xlnm._FilterDatabase" hidden="1">#REF!</definedName>
    <definedName name="_FLL2" hidden="1">#REF!</definedName>
    <definedName name="_FMA1">#N/A</definedName>
    <definedName name="_FMA2">#N/A</definedName>
    <definedName name="_FS_R">#REF!</definedName>
    <definedName name="_Key.1" hidden="1">#REF!</definedName>
    <definedName name="_Key1" hidden="1">#REF!</definedName>
    <definedName name="_Key2" hidden="1">#REF!</definedName>
    <definedName name="_lookup1">#REF!</definedName>
    <definedName name="_lookup2">#REF!</definedName>
    <definedName name="_lookup3">#REF!</definedName>
    <definedName name="_LYN2">#REF!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Meter_Pt">#REF!</definedName>
    <definedName name="_n4" hidden="1">{"EXCELHLP.HLP!1802";5;10;5;10;13;13;13;8;5;5;10;14;13;13;13;13;5;10;14;13;5;10;1;2;24}</definedName>
    <definedName name="_OP1">#N/A</definedName>
    <definedName name="_OP2">#N/A</definedName>
    <definedName name="_OP3">#N/A</definedName>
    <definedName name="_OP4">#N/A</definedName>
    <definedName name="_Order.1" hidden="1">255</definedName>
    <definedName name="_Order1" hidden="1">255</definedName>
    <definedName name="_Order2" hidden="1">255</definedName>
    <definedName name="_Parse_In" hidden="1">#REF!</definedName>
    <definedName name="_Parse_Out" hidden="1">#REF!</definedName>
    <definedName name="_PPR_?__AGAQ">#REF!</definedName>
    <definedName name="_Q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_Query1a">#REF!</definedName>
    <definedName name="_Query1b">#REF!</definedName>
    <definedName name="_Query2a">#REF!</definedName>
    <definedName name="_Query2b">#REF!</definedName>
    <definedName name="_RBN2">#REF!</definedName>
    <definedName name="_RBU2">#REF!</definedName>
    <definedName name="_RE_">#REF!</definedName>
    <definedName name="_REF1">#N/A</definedName>
    <definedName name="_REF2">#N/A</definedName>
    <definedName name="_REF3">#N/A</definedName>
    <definedName name="_REF4">#N/A</definedName>
    <definedName name="_Regression_Int">1</definedName>
    <definedName name="_Regression_Out" hidden="1">#REF!</definedName>
    <definedName name="_Regression_X" hidden="1">#REF!</definedName>
    <definedName name="_Regression_Y" hidden="1">#REF!</definedName>
    <definedName name="_RFD1__WCS10_">#REF!</definedName>
    <definedName name="_RG2">#N/A</definedName>
    <definedName name="_rm9" hidden="1">{"detail305",#N/A,FALSE,"BI-305"}</definedName>
    <definedName name="_RunCase">#REF!</definedName>
    <definedName name="_sec1">#REF!</definedName>
    <definedName name="_sec2">#REF!</definedName>
    <definedName name="_Sort" hidden="1">#REF!</definedName>
    <definedName name="_Sort.1" hidden="1">#REF!</definedName>
    <definedName name="_Split_Mthd">#REF!</definedName>
    <definedName name="_Start_Yr">#REF!</definedName>
    <definedName name="_StartYr2">#REF!</definedName>
    <definedName name="_Table1_In1" hidden="1">#N/A</definedName>
    <definedName name="_Table1_Out" hidden="1">#REF!</definedName>
    <definedName name="_Table2_In1" hidden="1">#N/A</definedName>
    <definedName name="_Table2_In2" hidden="1">#N/A</definedName>
    <definedName name="_Table2_Out" hidden="1">#N/A</definedName>
    <definedName name="_Table3_In2" hidden="1">#REF!</definedName>
    <definedName name="_te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_te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_te3"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_te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_tet12" hidden="1">{"assumptions",#N/A,FALSE,"Scenario 1";"valuation",#N/A,FALSE,"Scenario 1"}</definedName>
    <definedName name="_tet5" hidden="1">{"assumptions",#N/A,FALSE,"Scenario 1";"valuation",#N/A,FALSE,"Scenario 1"}</definedName>
    <definedName name="_WCS_?__">#REF!</definedName>
    <definedName name="_WIC_">#REF!</definedName>
    <definedName name="_WIR_">#REF!</definedName>
    <definedName name="_wrn1" hidden="1">{#N/A,#N/A,FALSE,"MBR PCS";#N/A,#N/A,FALSE,"MBR CIG";#N/A,#N/A,FALSE,"MBR iDEN";#N/A,#N/A,FALSE,"MBR_FWT";#N/A,#N/A,FALSE,"MBR TOTAL"}</definedName>
    <definedName name="_WSH7">#REF!</definedName>
    <definedName name="_x21" hidden="1">{"detail305",#N/A,FALSE,"BI-305"}</definedName>
    <definedName name="_x22" hidden="1">{"summary",#N/A,FALSE,"PCR DIRECTORY"}</definedName>
    <definedName name="_xlcn.WorksheetConnection_CopyofCableEventCostTrackingCURRENT2.xlsxtable_cable_splice" hidden="1">table_cable_splice</definedName>
    <definedName name="_xlcn.WorksheetConnection_CopyofCableEventCostTrackingCURRENT2.xlsxtable_demob" hidden="1">table_demob</definedName>
    <definedName name="_xlcn.WorksheetConnection_CopyofCableEventCostTrackingCURRENT2.xlsxtable_inspection" hidden="1">table_inspection</definedName>
    <definedName name="_xx" hidden="1">#REF!</definedName>
    <definedName name="a" hidden="1">{"MATALL",#N/A,FALSE,"Sheet4";"matclass",#N/A,FALSE,"Sheet4"}</definedName>
    <definedName name="a_g">#N/A</definedName>
    <definedName name="aa" hidden="1">{#N/A,#N/A,FALSE,"Title Page";#N/A,#N/A,FALSE,"Conclusions";#N/A,#N/A,FALSE,"Assum.";#N/A,#N/A,FALSE,"Sun  DCF-WC-Dep";#N/A,#N/A,FALSE,"MarketValue";#N/A,#N/A,FALSE,"BalSheet";#N/A,#N/A,FALSE,"WACC";#N/A,#N/A,FALSE,"PC+ Info.";#N/A,#N/A,FALSE,"PC+Info_2"}</definedName>
    <definedName name="aaa" localSheetId="15" hidden="1">{#N/A,#N/A,FALSE,"O&amp;M by processes";#N/A,#N/A,FALSE,"Elec Act vs Bud";#N/A,#N/A,FALSE,"G&amp;A";#N/A,#N/A,FALSE,"BGS";#N/A,#N/A,FALSE,"Res Cost"}</definedName>
    <definedName name="aaa" localSheetId="25" hidden="1">{#N/A,#N/A,FALSE,"O&amp;M by processes";#N/A,#N/A,FALSE,"Elec Act vs Bud";#N/A,#N/A,FALSE,"G&amp;A";#N/A,#N/A,FALSE,"BGS";#N/A,#N/A,FALSE,"Res Cost"}</definedName>
    <definedName name="aaa" localSheetId="26" hidden="1">{#N/A,#N/A,FALSE,"O&amp;M by processes";#N/A,#N/A,FALSE,"Elec Act vs Bud";#N/A,#N/A,FALSE,"G&amp;A";#N/A,#N/A,FALSE,"BGS";#N/A,#N/A,FALSE,"Res Cost"}</definedName>
    <definedName name="aaa" hidden="1">{#N/A,#N/A,FALSE,"O&amp;M by processes";#N/A,#N/A,FALSE,"Elec Act vs Bud";#N/A,#N/A,FALSE,"G&amp;A";#N/A,#N/A,FALSE,"BGS";#N/A,#N/A,FALSE,"Res Cost"}</definedName>
    <definedName name="AAA_DOCTOPS" hidden="1">"AAA_SET"</definedName>
    <definedName name="AAA_duser" hidden="1">"OFF"</definedName>
    <definedName name="aaaa" hidden="1">{"1999 Cash Budget",#N/A,FALSE,"99 Cash";"1999 Cash Budget YTD",#N/A,FALSE,"99 Cash";"1999 Cash Actual/Forcast",#N/A,FALSE,"99 Cash";"1999 Cash Actual/Forcast YTD",#N/A,FALSE,"99 Cash"}</definedName>
    <definedName name="aaaa1" hidden="1">{"1999 Cash Budget",#N/A,FALSE,"99 Cash";"1999 Cash Budget YTD",#N/A,FALSE,"99 Cash";"1999 Cash Actual/Forcast",#N/A,FALSE,"99 Cash";"1999 Cash Actual/Forcast YTD",#N/A,FALSE,"99 Cash"}</definedName>
    <definedName name="aaaaa" hidden="1">{#N/A,#N/A,FALSE,"Title Page";#N/A,#N/A,FALSE,"Conclusions";#N/A,#N/A,FALSE,"Assum.";#N/A,#N/A,FALSE,"Sun  DCF-WC-Dep";#N/A,#N/A,FALSE,"MarketValue";#N/A,#N/A,FALSE,"BalSheet";#N/A,#N/A,FALSE,"WACC";#N/A,#N/A,FALSE,"PC+ Info.";#N/A,#N/A,FALSE,"PC+Info_2"}</definedName>
    <definedName name="aaaaaa" hidden="1">{#N/A,#N/A,FALSE,"Title Page";#N/A,#N/A,FALSE,"Conclusions";#N/A,#N/A,FALSE,"Assum.";#N/A,#N/A,FALSE,"Sun  DCF-WC-Dep";#N/A,#N/A,FALSE,"MarketValue";#N/A,#N/A,FALSE,"BalSheet";#N/A,#N/A,FALSE,"WACC";#N/A,#N/A,FALSE,"PC+ Info.";#N/A,#N/A,FALSE,"PC+Info_2"}</definedName>
    <definedName name="aaaaaaa" hidden="1">{"Cash Budget",#N/A,FALSE,"98 Cash";"Running Cash Budget",#N/A,FALSE,"98 Cash";"Actual Cash",#N/A,FALSE,"98 Cash";"Update Cash Budget",#N/A,FALSE,"98 Cash"}</definedName>
    <definedName name="aaaaaaaa" hidden="1">{"Income Budget",#N/A,FALSE,"98 Income";"Running GAAP Budget Income",#N/A,FALSE,"98 Income";"GAAP Actual",#N/A,FALSE,"98 Income";"GAAP Varinance",#N/A,FALSE,"98 Income"}</definedName>
    <definedName name="aaaaaaaaaa" hidden="1">{"Cash Budget",#N/A,FALSE,"98 Cash";"Running Cash Budget",#N/A,FALSE,"98 Cash";"Actual Cash",#N/A,FALSE,"98 Cash";"Update Cash Budget",#N/A,FALSE,"98 Cash"}</definedName>
    <definedName name="aaaaaaaaaaaaaaa" localSheetId="15" hidden="1">{#N/A,#N/A,FALSE,"O&amp;M by processes";#N/A,#N/A,FALSE,"Elec Act vs Bud";#N/A,#N/A,FALSE,"G&amp;A";#N/A,#N/A,FALSE,"BGS";#N/A,#N/A,FALSE,"Res Cost"}</definedName>
    <definedName name="aaaaaaaaaaaaaaa" localSheetId="25" hidden="1">{#N/A,#N/A,FALSE,"O&amp;M by processes";#N/A,#N/A,FALSE,"Elec Act vs Bud";#N/A,#N/A,FALSE,"G&amp;A";#N/A,#N/A,FALSE,"BGS";#N/A,#N/A,FALSE,"Res Cost"}</definedName>
    <definedName name="aaaaaaaaaaaaaaa" localSheetId="26" hidden="1">{#N/A,#N/A,FALSE,"O&amp;M by processes";#N/A,#N/A,FALSE,"Elec Act vs Bud";#N/A,#N/A,FALSE,"G&amp;A";#N/A,#N/A,FALSE,"BGS";#N/A,#N/A,FALSE,"Res Cost"}</definedName>
    <definedName name="aaaaaaaaaaaaaaa" hidden="1">{#N/A,#N/A,FALSE,"O&amp;M by processes";#N/A,#N/A,FALSE,"Elec Act vs Bud";#N/A,#N/A,FALSE,"G&amp;A";#N/A,#N/A,FALSE,"BGS";#N/A,#N/A,FALSE,"Res Cost"}</definedName>
    <definedName name="AAB_Addin5" hidden="1">"AAB_Description for addin 5,Description for addin 5,Description for addin 5,Description for addin 5,Description for addin 5,Description for addin 5"</definedName>
    <definedName name="ab"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abc" hidden="1">{"Alles",#N/A,FALSE,"H A Ü"}</definedName>
    <definedName name="abcd" hidden="1">{#N/A,#N/A,TRUE,"TOTAL DSBN";#N/A,#N/A,TRUE,"WEST";#N/A,#N/A,TRUE,"SOUTH";#N/A,#N/A,TRUE,"NORTHEAST"}</definedName>
    <definedName name="abcde" hidden="1">{#N/A,#N/A,FALSE,"Title Page";#N/A,#N/A,FALSE,"Conclusions";#N/A,#N/A,FALSE,"Assum.";#N/A,#N/A,FALSE,"Sun  DCF-WC-Dep";#N/A,#N/A,FALSE,"MarketValue";#N/A,#N/A,FALSE,"BalSheet";#N/A,#N/A,FALSE,"WACC";#N/A,#N/A,FALSE,"PC+ Info.";#N/A,#N/A,FALSE,"PC+Info_2"}</definedName>
    <definedName name="above">OFFSET(!A1,-1,0)</definedName>
    <definedName name="AC_255">#REF!</definedName>
    <definedName name="Account_List">#REF!</definedName>
    <definedName name="Accounting_Method">#N/A</definedName>
    <definedName name="ACCTTextLen">#REF!</definedName>
    <definedName name="Acquirer">#N/A</definedName>
    <definedName name="Acquirer_Shares_Outstanding">#N/A</definedName>
    <definedName name="Acquisition_Cost_Period">#N/A</definedName>
    <definedName name="Acquisition_Goodwill_Period">#N/A</definedName>
    <definedName name="Acres_SegVal">#REF!</definedName>
    <definedName name="ACTTextLen">#REF!</definedName>
    <definedName name="Actual">#REF!</definedName>
    <definedName name="Actual_IRRs">#N/A</definedName>
    <definedName name="ACwvu.earnings." hidden="1">#REF!</definedName>
    <definedName name="ACwvu.OP." hidden="1">#REF!</definedName>
    <definedName name="AD">#N/A</definedName>
    <definedName name="AD_2">#N/A</definedName>
    <definedName name="adas" hidden="1">{#N/A,#N/A,FALSE,"Balance SPS";#N/A,#N/A,FALSE,"P&amp;L_SPS"}</definedName>
    <definedName name="addl_pass">#N/A</definedName>
    <definedName name="Addr1" hidden="1">#REF!</definedName>
    <definedName name="Addr2" hidden="1">#REF!</definedName>
    <definedName name="ADIT_TST">#REF!</definedName>
    <definedName name="Adj">#REF!</definedName>
    <definedName name="adjust" hidden="1">{#N/A,#N/A,FALSE,"Ratios - Classic";#N/A,#N/A,FALSE,"Share Proof - Classic";#N/A,#N/A,FALSE,"Per Share-Classic"}</definedName>
    <definedName name="Adjusted_KW">#REF!</definedName>
    <definedName name="Adjustment">#REF!</definedName>
    <definedName name="Adjustments">#N/A</definedName>
    <definedName name="Administration">#N/A</definedName>
    <definedName name="adsfds"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ADTL">#REF!</definedName>
    <definedName name="AFUDC">#REF!</definedName>
    <definedName name="AFUDC_or_Not">#REF!</definedName>
    <definedName name="ag"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AG_Expense_Rate">#REF!</definedName>
    <definedName name="AG_TST">#REF!</definedName>
    <definedName name="agfd" hidden="1">{#N/A,#N/A,FALSE,"Balance SPS";#N/A,#N/A,FALSE,"P&amp;L_SPS"}</definedName>
    <definedName name="AGXP">#REF!</definedName>
    <definedName name="aksdhf" hidden="1">{"Alles",#N/A,FALSE,"H A Ü"}</definedName>
    <definedName name="Alignment" hidden="1">"a1"</definedName>
    <definedName name="AllASS">#REF!</definedName>
    <definedName name="ALLCGI">#REF!</definedName>
    <definedName name="Alloc02">#REF!</definedName>
    <definedName name="Alloc03">#REF!</definedName>
    <definedName name="AllocateFuelFlareMcfBasedOnGallons">#REF!</definedName>
    <definedName name="AllocateFuelFlareMcfBasedOnWellHeadMcf">#REF!</definedName>
    <definedName name="AllocateFuelFlareMmbtuBasedOnGallons">#REF!</definedName>
    <definedName name="AllocateFuelFlareMmbtuBasedOnWellHeadMcf">#REF!</definedName>
    <definedName name="Allocator.gross.plant">#REF!</definedName>
    <definedName name="Allocator.net.plant">#REF!</definedName>
    <definedName name="Allocator.wages.salary">#REF!</definedName>
    <definedName name="AllocTY">#REF!</definedName>
    <definedName name="ALLRD">#REF!</definedName>
    <definedName name="ALLSKP">#REF!</definedName>
    <definedName name="ALOC">#REF!</definedName>
    <definedName name="ALOC_2">#REF!</definedName>
    <definedName name="Amort_04">#REF!</definedName>
    <definedName name="Amort_05">#REF!</definedName>
    <definedName name="Amort_06">#REF!</definedName>
    <definedName name="Amort_07">#REF!</definedName>
    <definedName name="Amort_08">#REF!</definedName>
    <definedName name="Amort_09">#REF!</definedName>
    <definedName name="Amort_10">#REF!</definedName>
    <definedName name="Amort_11">#REF!</definedName>
    <definedName name="Amort_12">#REF!</definedName>
    <definedName name="Amort_Target">#REF!</definedName>
    <definedName name="Amortization_Period">#N/A</definedName>
    <definedName name="Amortization_Period_Additions">#N/A</definedName>
    <definedName name="Amortize_Finance_Fees">#N/A</definedName>
    <definedName name="AMOUNT">#REF!</definedName>
    <definedName name="AMT_tax">#REF!</definedName>
    <definedName name="analysis">#N/A</definedName>
    <definedName name="AnalysisTab">#REF!</definedName>
    <definedName name="analyst">#N/A</definedName>
    <definedName name="Angle_Poles_Costs">#REF!</definedName>
    <definedName name="annual_qty">#REF!</definedName>
    <definedName name="anscount" hidden="1">1</definedName>
    <definedName name="AppliedFor" hidden="1">#REF!</definedName>
    <definedName name="AppliedForDate" hidden="1">#REF!</definedName>
    <definedName name="APR">#N/A</definedName>
    <definedName name="ARB_04">#REF!</definedName>
    <definedName name="ARB_05">#REF!</definedName>
    <definedName name="ARB_06">#REF!</definedName>
    <definedName name="ARB_07">#REF!</definedName>
    <definedName name="ARB_08">#REF!</definedName>
    <definedName name="ARB_09">#REF!</definedName>
    <definedName name="ARB_10">#REF!</definedName>
    <definedName name="ARB_11">#REF!</definedName>
    <definedName name="ar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AREA">#N/A</definedName>
    <definedName name="Area_2">#REF!</definedName>
    <definedName name="Area_Batch_Plant">#REF!</definedName>
    <definedName name="Area_Constr_Trailers">#REF!</definedName>
    <definedName name="Area_Laydown">#REF!</definedName>
    <definedName name="Area_Parking">#REF!</definedName>
    <definedName name="Area_Storage_Contain">#REF!</definedName>
    <definedName name="Arkansas">#REF!</definedName>
    <definedName name="Array">#REF!</definedName>
    <definedName name="as" hidden="1">{#N/A,#N/A,FALSE,"BACK UP CIG"}</definedName>
    <definedName name="AS2DocOpenMode" hidden="1">"AS2DocumentEdit"</definedName>
    <definedName name="AS2HasNoAutoHeaderFooter" hidden="1">" "</definedName>
    <definedName name="AS2NamedRange" hidden="1">3</definedName>
    <definedName name="AS2ReportLS" hidden="1">1</definedName>
    <definedName name="AS2StaticLS" hidden="1">#REF!</definedName>
    <definedName name="AS2SyncStepLS" hidden="1">0</definedName>
    <definedName name="AS2TaxWorkpaper" hidden="1">" "</definedName>
    <definedName name="AS2TickmarkLS" hidden="1">#REF!</definedName>
    <definedName name="AS2VersionLS" hidden="1">300</definedName>
    <definedName name="asa"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ASD">#REF!</definedName>
    <definedName name="ASD_LEXTERNAL">#REF!</definedName>
    <definedName name="asda"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asdad" hidden="1">{#N/A,#N/A,FALSE,"MBR PCS";#N/A,#N/A,FALSE,"MBR CIG";#N/A,#N/A,FALSE,"MBR iDEN";#N/A,#N/A,FALSE,"MBR_FWT";#N/A,#N/A,FALSE,"MBR TOTAL"}</definedName>
    <definedName name="asdaf"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asdas" hidden="1">{#N/A,#N/A,TRUE,"Cover";#N/A,#N/A,TRUE,"Comments PCS";#N/A,#N/A,TRUE,"Comments CIG";#N/A,#N/A,TRUE,"Comments IDEN";#N/A,#N/A,TRUE,"BS PCS";#N/A,#N/A,TRUE,"BS CIG";#N/A,#N/A,TRUE,"BS IDEN";#N/A,#N/A,TRUE,"BS TOTAL";#N/A,#N/A,TRUE,"BS_ESG ";#N/A,#N/A,TRUE,"Balance SPS";#N/A,#N/A,TRUE,"BS_CORPORATE";#N/A,#N/A,TRUE,"P&amp;L PCS";#N/A,#N/A,TRUE,"P&amp;L FWT";#N/A,#N/A,TRUE,"P&amp;L CIG";#N/A,#N/A,TRUE,"P&amp;L IDEN";#N/A,#N/A,TRUE,"P&amp;L TOTAL";#N/A,#N/A,TRUE,"P&amp;L_SPS";#N/A,#N/A,TRUE,"P&amp;L_ESG";#N/A,#N/A,TRUE,"P&amp;L_CORP";#N/A,#N/A,TRUE,"Cash Flow PCS";#N/A,#N/A,TRUE,"Cash Flow CIG";#N/A,#N/A,TRUE,"Cash Flow IDEN";#N/A,#N/A,TRUE,"Cash Flow TOTAL";#N/A,#N/A,TRUE,"MBR PCS";#N/A,#N/A,TRUE,"MBR CIG";#N/A,#N/A,TRUE,"MBR iDEN";#N/A,#N/A,TRUE,"MBR_FWT";#N/A,#N/A,TRUE,"MBR TOTAL";#N/A,#N/A,TRUE,"Headcount_PCS ";#N/A,#N/A,TRUE,"Headcount CIG";#N/A,#N/A,TRUE,"Headcount iDEN";#N/A,#N/A,TRUE,"JAG PLANT TREND";#N/A,#N/A,TRUE,"FAB UN CSG ";#N/A,#N/A,TRUE,"FAB UN CIG";#N/A,#N/A,TRUE,"FAB UN PPG";#N/A,#N/A,TRUE,"FAB UN IDEN";#N/A,#N/A,TRUE,"FAB UN FWT";#N/A,#N/A,TRUE,"CSS MFG";#N/A,#N/A,TRUE,"CSS Distr";#N/A,#N/A,TRUE,"CSG 6-Up Charts";#N/A,#N/A,TRUE,"CIG MFG";#N/A,#N/A,TRUE,"IDEN MFG";#N/A,#N/A,TRUE,"IDEN 6-Up Charts  ";#N/A,#N/A,TRUE,"FWT MFG";#N/A,#N/A,TRUE,"FWT 6-Up Charts ";#N/A,#N/A,TRUE,"PCS Inventory";#N/A,#N/A,TRUE,"CIG Inventory";#N/A,#N/A,TRUE,"IDEN Inventory";#N/A,#N/A,TRUE,"FWT Inventory";#N/A,#N/A,TRUE,"CE JAG Inventory";#N/A,#N/A,TRUE,"Capital Expenditures";#N/A,#N/A,TRUE,"FM CSG";#N/A,#N/A,TRUE,"NSAD ASP CGS";#N/A,#N/A,TRUE,"FM CIG";#N/A,#N/A,TRUE,"NSAD ASP CIG";#N/A,#N/A,TRUE,"FM iDEN";#N/A,#N/A,TRUE,"NSAD IDEN";#N/A,#N/A,TRUE,"R&amp;D  Report";#N/A,#N/A,TRUE,"PCS Credit";#N/A,#N/A,TRUE,"PCS Mrg Analysis";#N/A,#N/A,TRUE,"Dpc Tango";#N/A,#N/A,TRUE,"Startac Analog";#N/A,#N/A,TRUE,"Mercury CDMA";#N/A,#N/A,TRUE,"Startac CDMA";#N/A,#N/A,TRUE,"Startac TDMA";#N/A,#N/A,TRUE,"Modulus TDMA";#N/A,#N/A,TRUE,"CIG Mrg Analysis";#N/A,#N/A,TRUE,"IDEN Mrg Analysis"}</definedName>
    <definedName name="asdasd"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asdasdas" hidden="1">{#N/A,#N/A,FALSE,"Headcount_PCS ";#N/A,#N/A,FALSE,"Headcount CIG";#N/A,#N/A,FALSE,"Headcount iDEN";#N/A,#N/A,FALSE,"JAG PLANT TREND"}</definedName>
    <definedName name="ASDF" hidden="1">{TRUE,TRUE,-1.25,-15.5,604.5,343.5,FALSE,FALSE,TRUE,TRUE,0,1,2,1,13,1,4,4,TRUE,TRUE,3,TRUE,1,TRUE,80,"Swvu.qtr._.for._.IR.","ACwvu.qtr._.for._.IR.",#N/A,FALSE,FALSE,0.65,0.5,1.25,1,2,"","",TRUE,FALSE,FALSE,FALSE,1,#N/A,1,1,"=R1C1:R33C11",FALSE,#N/A,#N/A,FALSE,FALSE,FALSE,1,#N/A,#N/A,FALSE,FALSE,TRUE,TRUE,TRUE}</definedName>
    <definedName name="asdfadsf" hidden="1">{TRUE,TRUE,-1.25,-15.5,604.5,343.5,FALSE,FALSE,TRUE,TRUE,0,1,2,1,13,1,4,4,TRUE,TRUE,3,TRUE,1,TRUE,80,"Swvu.qtr._.for._.IR.","ACwvu.qtr._.for._.IR.",#N/A,FALSE,FALSE,0.65,0.5,1.25,1,2,"","",TRUE,FALSE,FALSE,FALSE,1,#N/A,1,1,"=R1C1:R33C11",FALSE,#N/A,#N/A,FALSE,FALSE,FALSE,1,#N/A,#N/A,FALSE,FALSE,TRUE,TRUE,TRUE}</definedName>
    <definedName name="asdfsd" hidden="1">{#N/A,#N/A,FALSE,"Aging Summary";#N/A,#N/A,FALSE,"Ratio Analysis";#N/A,#N/A,FALSE,"Test 120 Day Accts";#N/A,#N/A,FALSE,"Tickmarks"}</definedName>
    <definedName name="asdgasd" hidden="1">{#N/A,#N/A,FALSE,"BS_ESG ";#N/A,#N/A,FALSE,"P&amp;L_ESG"}</definedName>
    <definedName name="aserf" hidden="1">{"Summary Schedule",#N/A,FALSE,"Sheet1";"Divisional Support",#N/A,FALSE,"Sheet2";"Corporate Support",#N/A,FALSE,"Sheet3"}</definedName>
    <definedName name="asfda" hidden="1">{#N/A,#N/A,FALSE,"Cover";#N/A,#N/A,FALSE,"General Assumptions";#N/A,#N/A,FALSE,"Comments CIG";#N/A,#N/A,FALSE,"BS CIG";#N/A,#N/A,FALSE,"P&amp;L CIG";#N/A,#N/A,FALSE,"Cash Flow CIG";#N/A,#N/A,FALSE,"MBR CIG";#N/A,#N/A,FALSE,"Headcount - CIG";#N/A,#N/A,FALSE,"CIG MFG";#N/A,#N/A,FALSE,"CIG Inventory";#N/A,#N/A,FALSE,"Capital CIG"}</definedName>
    <definedName name="Ash_Disposal____ton">#N/A</definedName>
    <definedName name="Ash_Generation_Rate__tons_MWH">#N/A</definedName>
    <definedName name="Asset_Write_up_Period">#N/A</definedName>
    <definedName name="assssss" hidden="1">{"Summary Schedule",#N/A,FALSE,"Sheet1";"Divisional Support",#N/A,FALSE,"Sheet2";"Corporate Support",#N/A,FALSE,"Sheet3"}</definedName>
    <definedName name="assum">#REF!</definedName>
    <definedName name="ASSUME">#N/A</definedName>
    <definedName name="Assumed_Equity_Return">#REF!</definedName>
    <definedName name="At_Closing_International_Sale">#N/A</definedName>
    <definedName name="atpr" hidden="1">{"EXCELHLP.HLP!1802";5;10;5;10;13;13;13;8;5;5;10;14;13;13;13;13;5;10;14;13;5;10;1;2;24}</definedName>
    <definedName name="ATRR_Percent_Assigned">#REF!</definedName>
    <definedName name="ATXQAVersion" hidden="1">2</definedName>
    <definedName name="AUG">#N/A</definedName>
    <definedName name="AUX">#N/A</definedName>
    <definedName name="AVAILABILITY">#N/A</definedName>
    <definedName name="Average_EBITDA_Exit_Multiple">#N/A</definedName>
    <definedName name="AVG">#N/A</definedName>
    <definedName name="awvrevrf"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wvrevrf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wvrevrf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wvrevrf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wvrevrf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wvrevrf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zle_Outlet_Mcf">#REF!</definedName>
    <definedName name="Azle_Outlet_MMBtu">#REF!</definedName>
    <definedName name="B">#REF!</definedName>
    <definedName name="BadErrMsg">#REF!</definedName>
    <definedName name="BAL">#N/A</definedName>
    <definedName name="Bal_sheet">#REF!</definedName>
    <definedName name="BALANCE">#REF!</definedName>
    <definedName name="Balance_Sheet">#REF!</definedName>
    <definedName name="Balances">#REF!</definedName>
    <definedName name="BalanceSheet">#REF!</definedName>
    <definedName name="Bank_Debt_U_W_Spread">#N/A</definedName>
    <definedName name="BaseYear">#REF!</definedName>
    <definedName name="BASIS_OF_DATA">#REF!</definedName>
    <definedName name="Basis_Points">#REF!</definedName>
    <definedName name="BatchPlant_Qty">#REF!</definedName>
    <definedName name="BB"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bbb" localSheetId="15" hidden="1">{#N/A,#N/A,FALSE,"O&amp;M by processes";#N/A,#N/A,FALSE,"Elec Act vs Bud";#N/A,#N/A,FALSE,"G&amp;A";#N/A,#N/A,FALSE,"BGS";#N/A,#N/A,FALSE,"Res Cost"}</definedName>
    <definedName name="bbb" localSheetId="25" hidden="1">{#N/A,#N/A,FALSE,"O&amp;M by processes";#N/A,#N/A,FALSE,"Elec Act vs Bud";#N/A,#N/A,FALSE,"G&amp;A";#N/A,#N/A,FALSE,"BGS";#N/A,#N/A,FALSE,"Res Cost"}</definedName>
    <definedName name="bbb" localSheetId="26" hidden="1">{#N/A,#N/A,FALSE,"O&amp;M by processes";#N/A,#N/A,FALSE,"Elec Act vs Bud";#N/A,#N/A,FALSE,"G&amp;A";#N/A,#N/A,FALSE,"BGS";#N/A,#N/A,FALSE,"Res Cost"}</definedName>
    <definedName name="bbb" hidden="1">{#N/A,#N/A,FALSE,"O&amp;M by processes";#N/A,#N/A,FALSE,"Elec Act vs Bud";#N/A,#N/A,FALSE,"G&amp;A";#N/A,#N/A,FALSE,"BGS";#N/A,#N/A,FALSE,"Res Cost"}</definedName>
    <definedName name="bbbb" localSheetId="15" hidden="1">{#N/A,#N/A,FALSE,"O&amp;M by processes";#N/A,#N/A,FALSE,"Elec Act vs Bud";#N/A,#N/A,FALSE,"G&amp;A";#N/A,#N/A,FALSE,"BGS";#N/A,#N/A,FALSE,"Res Cost"}</definedName>
    <definedName name="bbbb" localSheetId="25" hidden="1">{#N/A,#N/A,FALSE,"O&amp;M by processes";#N/A,#N/A,FALSE,"Elec Act vs Bud";#N/A,#N/A,FALSE,"G&amp;A";#N/A,#N/A,FALSE,"BGS";#N/A,#N/A,FALSE,"Res Cost"}</definedName>
    <definedName name="bbbb" localSheetId="26" hidden="1">{#N/A,#N/A,FALSE,"O&amp;M by processes";#N/A,#N/A,FALSE,"Elec Act vs Bud";#N/A,#N/A,FALSE,"G&amp;A";#N/A,#N/A,FALSE,"BGS";#N/A,#N/A,FALSE,"Res Cost"}</definedName>
    <definedName name="bbbb" hidden="1">{#N/A,#N/A,FALSE,"O&amp;M by processes";#N/A,#N/A,FALSE,"Elec Act vs Bud";#N/A,#N/A,FALSE,"G&amp;A";#N/A,#N/A,FALSE,"BGS";#N/A,#N/A,FALSE,"Res Cost"}</definedName>
    <definedName name="bbbbb" localSheetId="15" hidden="1">{#N/A,#N/A,FALSE,"O&amp;M by processes";#N/A,#N/A,FALSE,"Elec Act vs Bud";#N/A,#N/A,FALSE,"G&amp;A";#N/A,#N/A,FALSE,"BGS";#N/A,#N/A,FALSE,"Res Cost"}</definedName>
    <definedName name="bbbbb" localSheetId="25" hidden="1">{#N/A,#N/A,FALSE,"O&amp;M by processes";#N/A,#N/A,FALSE,"Elec Act vs Bud";#N/A,#N/A,FALSE,"G&amp;A";#N/A,#N/A,FALSE,"BGS";#N/A,#N/A,FALSE,"Res Cost"}</definedName>
    <definedName name="bbbbb" localSheetId="26" hidden="1">{#N/A,#N/A,FALSE,"O&amp;M by processes";#N/A,#N/A,FALSE,"Elec Act vs Bud";#N/A,#N/A,FALSE,"G&amp;A";#N/A,#N/A,FALSE,"BGS";#N/A,#N/A,FALSE,"Res Cost"}</definedName>
    <definedName name="bbbbb" hidden="1">{#N/A,#N/A,FALSE,"O&amp;M by processes";#N/A,#N/A,FALSE,"Elec Act vs Bud";#N/A,#N/A,FALSE,"G&amp;A";#N/A,#N/A,FALSE,"BGS";#N/A,#N/A,FALSE,"Res Cost"}</definedName>
    <definedName name="bbbbbb" hidden="1">{#N/A,#N/A,FALSE,"Title Page";#N/A,#N/A,FALSE,"Conclusions";#N/A,#N/A,FALSE,"Assum.";#N/A,#N/A,FALSE,"Sun  DCF-WC-Dep";#N/A,#N/A,FALSE,"MarketValue";#N/A,#N/A,FALSE,"BalSheet";#N/A,#N/A,FALSE,"WACC";#N/A,#N/A,FALSE,"PC+ Info.";#N/A,#N/A,FALSE,"PC+Info_2"}</definedName>
    <definedName name="bbc" localSheetId="15" hidden="1">{#N/A,#N/A,FALSE,"O&amp;M by processes";#N/A,#N/A,FALSE,"Elec Act vs Bud";#N/A,#N/A,FALSE,"G&amp;A";#N/A,#N/A,FALSE,"BGS";#N/A,#N/A,FALSE,"Res Cost"}</definedName>
    <definedName name="bbc" localSheetId="25" hidden="1">{#N/A,#N/A,FALSE,"O&amp;M by processes";#N/A,#N/A,FALSE,"Elec Act vs Bud";#N/A,#N/A,FALSE,"G&amp;A";#N/A,#N/A,FALSE,"BGS";#N/A,#N/A,FALSE,"Res Cost"}</definedName>
    <definedName name="bbc" localSheetId="26" hidden="1">{#N/A,#N/A,FALSE,"O&amp;M by processes";#N/A,#N/A,FALSE,"Elec Act vs Bud";#N/A,#N/A,FALSE,"G&amp;A";#N/A,#N/A,FALSE,"BGS";#N/A,#N/A,FALSE,"Res Cost"}</definedName>
    <definedName name="bbc" hidden="1">{#N/A,#N/A,FALSE,"O&amp;M by processes";#N/A,#N/A,FALSE,"Elec Act vs Bud";#N/A,#N/A,FALSE,"G&amp;A";#N/A,#N/A,FALSE,"BGS";#N/A,#N/A,FALSE,"Res Cost"}</definedName>
    <definedName name="Bearing">#REF!</definedName>
    <definedName name="Bearing_Pressure">#REF!</definedName>
    <definedName name="Beauregard">"Check Box 1"</definedName>
    <definedName name="Because" hidden="1">{#N/A,#N/A,TRUE,"TOTAL DISTRIBUTION";#N/A,#N/A,TRUE,"SOUTH";#N/A,#N/A,TRUE,"NORTHEAST";#N/A,#N/A,TRUE,"WEST"}</definedName>
    <definedName name="beg_CWIP">#REF!</definedName>
    <definedName name="begdate">#N/A</definedName>
    <definedName name="below">OFFSET(!A1,1,0)</definedName>
    <definedName name="bfc_esc">#N/A</definedName>
    <definedName name="BG_Del" hidden="1">15</definedName>
    <definedName name="BG_Ins" hidden="1">4</definedName>
    <definedName name="BG_Mod" hidden="1">6</definedName>
    <definedName name="BGS_Cost_Scenario">#REF!</definedName>
    <definedName name="BGS_RFP">#REF!</definedName>
    <definedName name="Bio_Flora">#REF!</definedName>
    <definedName name="Bkr_Column">#REF!</definedName>
    <definedName name="Blade_Type">#REF!</definedName>
    <definedName name="Blank" hidden="1">{"ARK_JURIS_FUEL",#N/A,FALSE,"Ark_Fuel&amp;Rev"}</definedName>
    <definedName name="BLANK_ACCOUNT">#REF!</definedName>
    <definedName name="BLE_Close_Date">#REF!</definedName>
    <definedName name="BLPH10"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6" hidden="1">#REF!</definedName>
    <definedName name="BLPH66" hidden="1">#REF!</definedName>
    <definedName name="BNE_MESSAGES_HIDDEN" hidden="1">#REF!</definedName>
    <definedName name="Bonus_Mo_Acrl">#REF!</definedName>
    <definedName name="booby" hidden="1">{#N/A,#N/A,TRUE,"TOTAL DISTRIBUTION";#N/A,#N/A,TRUE,"SOUTH";#N/A,#N/A,TRUE,"NORTHEAST";#N/A,#N/A,TRUE,"WEST"}</definedName>
    <definedName name="booby2" hidden="1">{#N/A,#N/A,TRUE,"TOTAL DSBN";#N/A,#N/A,TRUE,"WEST";#N/A,#N/A,TRUE,"SOUTH";#N/A,#N/A,TRUE,"NORTHEAST"}</definedName>
    <definedName name="book2.xls" hidden="1">{#N/A,#N/A,TRUE,"TOTAL DISTRIBUTION";#N/A,#N/A,TRUE,"SOUTH";#N/A,#N/A,TRUE,"NORTHEAST";#N/A,#N/A,TRUE,"WEST"}</definedName>
    <definedName name="book2a\.xls" hidden="1">{#N/A,#N/A,TRUE,"TOTAL DSBN";#N/A,#N/A,TRUE,"WEST";#N/A,#N/A,TRUE,"SOUTH";#N/A,#N/A,TRUE,"NORTHEAST"}</definedName>
    <definedName name="BookType">1</definedName>
    <definedName name="BR">#N/A</definedName>
    <definedName name="BR_2">#N/A</definedName>
    <definedName name="Braced_length_of_insulator">#REF!</definedName>
    <definedName name="Brazil">#REF!</definedName>
    <definedName name="Breakers_LV">#REF!</definedName>
    <definedName name="brick">#N/A</definedName>
    <definedName name="Bridge" hidden="1">{"'Highlights'!$A$1:$M$123"}</definedName>
    <definedName name="BS_CDMA"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BS_CDMA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BS_CDMA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BS_CDMA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BS_CDMA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BS_CDMA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BSFWT"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SFWT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SFWT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SFWT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SFWT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SFWT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ud" hidden="1">{"summary",#N/A,FALSE,"PCR DIRECTORY"}</definedName>
    <definedName name="Bundle_Discount">#REF!</definedName>
    <definedName name="Bundles">#REF!</definedName>
    <definedName name="Burlington_Resources">#REF!</definedName>
    <definedName name="Butt_Dia">#REF!</definedName>
    <definedName name="BV">#N/A</definedName>
    <definedName name="BV_2">#N/A</definedName>
    <definedName name="bym" hidden="1">{"summary",#N/A,FALSE,"PCR DIRECTORY"}</definedName>
    <definedName name="C_">#REF!</definedName>
    <definedName name="Cable">#REF!</definedName>
    <definedName name="Cabot">#REF!</definedName>
    <definedName name="CALC_C03">#REF!</definedName>
    <definedName name="CALC_C04">#REF!</definedName>
    <definedName name="CALC_C09">#REF!</definedName>
    <definedName name="CALC_LRG">#REF!</definedName>
    <definedName name="CALC_XLG">#REF!</definedName>
    <definedName name="calcs">#REF!</definedName>
    <definedName name="can" localSheetId="15" hidden="1">{#N/A,#N/A,FALSE,"O&amp;M by processes";#N/A,#N/A,FALSE,"Elec Act vs Bud";#N/A,#N/A,FALSE,"G&amp;A";#N/A,#N/A,FALSE,"BGS";#N/A,#N/A,FALSE,"Res Cost"}</definedName>
    <definedName name="can" localSheetId="25" hidden="1">{#N/A,#N/A,FALSE,"O&amp;M by processes";#N/A,#N/A,FALSE,"Elec Act vs Bud";#N/A,#N/A,FALSE,"G&amp;A";#N/A,#N/A,FALSE,"BGS";#N/A,#N/A,FALSE,"Res Cost"}</definedName>
    <definedName name="can" localSheetId="26" hidden="1">{#N/A,#N/A,FALSE,"O&amp;M by processes";#N/A,#N/A,FALSE,"Elec Act vs Bud";#N/A,#N/A,FALSE,"G&amp;A";#N/A,#N/A,FALSE,"BGS";#N/A,#N/A,FALSE,"Res Cost"}</definedName>
    <definedName name="can" hidden="1">{#N/A,#N/A,FALSE,"O&amp;M by processes";#N/A,#N/A,FALSE,"Elec Act vs Bud";#N/A,#N/A,FALSE,"G&amp;A";#N/A,#N/A,FALSE,"BGS";#N/A,#N/A,FALSE,"Res Cost"}</definedName>
    <definedName name="Cap_banks">#REF!</definedName>
    <definedName name="Cap_banks_concrete">#REF!</definedName>
    <definedName name="Cap_banks_labor">#REF!</definedName>
    <definedName name="cap_interest">#REF!</definedName>
    <definedName name="Capacity">#REF!</definedName>
    <definedName name="Capacity_Factor">#N/A</definedName>
    <definedName name="capacity7">#REF!</definedName>
    <definedName name="CapacityPrice">#N/A</definedName>
    <definedName name="CapAlloc">#REF!</definedName>
    <definedName name="CapBanks">#REF!</definedName>
    <definedName name="capc_toggle">#N/A</definedName>
    <definedName name="CAPCOST">#N/A</definedName>
    <definedName name="Capital_Gains_Tax">#N/A</definedName>
    <definedName name="Capital_table">#REF!</definedName>
    <definedName name="capitalized" hidden="1">{#N/A,#N/A,FALSE,"Title Page";#N/A,#N/A,FALSE,"Conclusions";#N/A,#N/A,FALSE,"Assum.";#N/A,#N/A,FALSE,"Sun  DCF-WC-Dep";#N/A,#N/A,FALSE,"MarketValue";#N/A,#N/A,FALSE,"BalSheet";#N/A,#N/A,FALSE,"WACC";#N/A,#N/A,FALSE,"PC+ Info.";#N/A,#N/A,FALSE,"PC+Info_2"}</definedName>
    <definedName name="CASCADE">#REF!</definedName>
    <definedName name="Case">#REF!</definedName>
    <definedName name="CaseII">#REF!</definedName>
    <definedName name="Cash"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_Flow_Statement">#N/A</definedName>
    <definedName name="Cash_Working_Capital_Percent">#REF!</definedName>
    <definedName name="cash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salvage">"j41"</definedName>
    <definedName name="CC">#N/A</definedName>
    <definedName name="CC_2">#N/A</definedName>
    <definedName name="CC_TST">#REF!</definedName>
    <definedName name="ccc" localSheetId="15" hidden="1">{#N/A,#N/A,FALSE,"O&amp;M by processes";#N/A,#N/A,FALSE,"Elec Act vs Bud";#N/A,#N/A,FALSE,"G&amp;A";#N/A,#N/A,FALSE,"BGS";#N/A,#N/A,FALSE,"Res Cost"}</definedName>
    <definedName name="ccc" localSheetId="25" hidden="1">{#N/A,#N/A,FALSE,"O&amp;M by processes";#N/A,#N/A,FALSE,"Elec Act vs Bud";#N/A,#N/A,FALSE,"G&amp;A";#N/A,#N/A,FALSE,"BGS";#N/A,#N/A,FALSE,"Res Cost"}</definedName>
    <definedName name="ccc" localSheetId="26" hidden="1">{#N/A,#N/A,FALSE,"O&amp;M by processes";#N/A,#N/A,FALSE,"Elec Act vs Bud";#N/A,#N/A,FALSE,"G&amp;A";#N/A,#N/A,FALSE,"BGS";#N/A,#N/A,FALSE,"Res Cost"}</definedName>
    <definedName name="ccc" hidden="1">{#N/A,#N/A,FALSE,"O&amp;M by processes";#N/A,#N/A,FALSE,"Elec Act vs Bud";#N/A,#N/A,FALSE,"G&amp;A";#N/A,#N/A,FALSE,"BGS";#N/A,#N/A,FALSE,"Res Cost"}</definedName>
    <definedName name="cccc" localSheetId="15" hidden="1">{#N/A,#N/A,FALSE,"O&amp;M by processes";#N/A,#N/A,FALSE,"Elec Act vs Bud";#N/A,#N/A,FALSE,"G&amp;A";#N/A,#N/A,FALSE,"BGS";#N/A,#N/A,FALSE,"Res Cost"}</definedName>
    <definedName name="cccc" localSheetId="25" hidden="1">{#N/A,#N/A,FALSE,"O&amp;M by processes";#N/A,#N/A,FALSE,"Elec Act vs Bud";#N/A,#N/A,FALSE,"G&amp;A";#N/A,#N/A,FALSE,"BGS";#N/A,#N/A,FALSE,"Res Cost"}</definedName>
    <definedName name="cccc" localSheetId="26" hidden="1">{#N/A,#N/A,FALSE,"O&amp;M by processes";#N/A,#N/A,FALSE,"Elec Act vs Bud";#N/A,#N/A,FALSE,"G&amp;A";#N/A,#N/A,FALSE,"BGS";#N/A,#N/A,FALSE,"Res Cost"}</definedName>
    <definedName name="cccc" hidden="1">{#N/A,#N/A,FALSE,"O&amp;M by processes";#N/A,#N/A,FALSE,"Elec Act vs Bud";#N/A,#N/A,FALSE,"G&amp;A";#N/A,#N/A,FALSE,"BGS";#N/A,#N/A,FALSE,"Res Cost"}</definedName>
    <definedName name="cccccc" hidden="1">{"EXCELHLP.HLP!1802";5;10;5;10;13;13;13;8;5;5;10;14;13;13;13;13;5;10;14;13;5;10;1;2;24}</definedName>
    <definedName name="CE">#REF!</definedName>
    <definedName name="CE_EAI">#REF!</definedName>
    <definedName name="CE_EGSI">#REF!</definedName>
    <definedName name="CE_ELI">#REF!</definedName>
    <definedName name="CE_EMI">#REF!</definedName>
    <definedName name="CE_ENOI">#REF!</definedName>
    <definedName name="Celestica4" hidden="1">{#N/A,#N/A,TRUE,"97 Sales by Quarter (New Order)";#N/A,#N/A,TRUE,"97 BPlan TOC";#N/A,#N/A,TRUE,"Sales by Month";#N/A,#N/A,TRUE,"94-97 Annual Units/ASP/NSAD";#N/A,#N/A,TRUE,"Total DDN P&amp;L";#N/A,#N/A,TRUE,"Total DDN Trend";#N/A,#N/A,TRUE,"Radio Modems P&amp;L";#N/A,#N/A,TRUE,"Radio Modems Trend";#N/A,#N/A,TRUE,"Eagle Datatac PM100D P&amp;L";#N/A,#N/A,TRUE,"Eagle Datatac PM100D Trend";#N/A,#N/A,TRUE,"Eagle CDPD PM100C P&amp;L";#N/A,#N/A,TRUE,"Eagle CDPD PM100C Trend";#N/A,#N/A,TRUE,"Grackle P&amp;L";#N/A,#N/A,TRUE,"Grackle Trend";#N/A,#N/A,TRUE,"Cost Per Unit";#N/A,#N/A,TRUE,"Appendices"}</definedName>
    <definedName name="CELL">#N/A</definedName>
    <definedName name="cell.above">!A1048576</definedName>
    <definedName name="cell.below">!A2</definedName>
    <definedName name="cell.left">!XFD1</definedName>
    <definedName name="cell.right">!B1</definedName>
    <definedName name="CEP_Amortization">#REF!</definedName>
    <definedName name="cg"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cg_1"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cg_2"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cg_3"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cg_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cg_5"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CGT">#REF!</definedName>
    <definedName name="CGT_Tax">#REF!</definedName>
    <definedName name="CH_COS">#REF!</definedName>
    <definedName name="change">#REF!</definedName>
    <definedName name="change1">#REF!</definedName>
    <definedName name="change2">#REF!</definedName>
    <definedName name="change3">#REF!</definedName>
    <definedName name="change4">#REF!</definedName>
    <definedName name="change5">#REF!</definedName>
    <definedName name="change6">#REF!</definedName>
    <definedName name="Charges"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CHECK_BAL">#REF!</definedName>
    <definedName name="CHECK_BLANK">#REF!</definedName>
    <definedName name="CHECK_CELLS">#REF!</definedName>
    <definedName name="Chlorides">#REF!</definedName>
    <definedName name="Chloridetype">#REF!</definedName>
    <definedName name="chloridetype1">#REF!</definedName>
    <definedName name="CIP_Year">OFFSET(#REF!,0,0,COUNTA(#REF!)-1,1)</definedName>
    <definedName name="CIQWBGuid" hidden="1">"664e8547-71ec-4d5c-9f05-86b890428491"</definedName>
    <definedName name="Circuits">#REF!</definedName>
    <definedName name="CL">#REF!</definedName>
    <definedName name="CLASSES">#N/A</definedName>
    <definedName name="ClientMatter" hidden="1">"b1"</definedName>
    <definedName name="Closing_date">#N/A</definedName>
    <definedName name="cnrc2"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Coal_Efficiency__BTU_LB.">#N/A</definedName>
    <definedName name="Coal_Price____TON">#N/A</definedName>
    <definedName name="CoCode0100">#REF!</definedName>
    <definedName name="CoCode0200">#REF!</definedName>
    <definedName name="CoCode0400">#REF!</definedName>
    <definedName name="CoCode0500">#REF!</definedName>
    <definedName name="COD">#REF!</definedName>
    <definedName name="COD_DATE">#REF!</definedName>
    <definedName name="COGEN">#REF!</definedName>
    <definedName name="cogen_fuel">#N/A</definedName>
    <definedName name="Coincidence_Factor">#REF!</definedName>
    <definedName name="Coll_OVHHR_Circuits">#REF!</definedName>
    <definedName name="Coll_Pwr_Cable_Size">#REF!</definedName>
    <definedName name="CollectionYard_Spacing">#REF!</definedName>
    <definedName name="colNEET_GL">#REF!</definedName>
    <definedName name="ColNum">#REF!</definedName>
    <definedName name="colTBC_Legacy_Budget">#REF!</definedName>
    <definedName name="colTBC_Legacy_Budget_GL">#REF!</definedName>
    <definedName name="Column">#REF!</definedName>
    <definedName name="Columns">#REF!</definedName>
    <definedName name="colWBS">#REF!</definedName>
    <definedName name="colWBS_Suffix">#REF!</definedName>
    <definedName name="com"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FEE">#N/A</definedName>
    <definedName name="COMM_CAPACITY">#N/A</definedName>
    <definedName name="Comments_CIG_FWT"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ments_CIG_FWT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ments_CIG_FWT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ments_CIG_FWT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ments_CIG_FWT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ments_CIG_FWT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P">#N/A</definedName>
    <definedName name="COMPANY">#N/A</definedName>
    <definedName name="company_id_valid_values">#REF!</definedName>
    <definedName name="CompanyTextLen">#REF!</definedName>
    <definedName name="COMPARE">#N/A</definedName>
    <definedName name="compInc">#REF!</definedName>
    <definedName name="CompsList">#REF!</definedName>
    <definedName name="CONC_TYPE">#REF!</definedName>
    <definedName name="Concrete_Bulks_HV">#REF!</definedName>
    <definedName name="Concrete_Bulks_LV">#REF!</definedName>
    <definedName name="Condensate" hidden="1">{#N/A,#N/A,FALSE,"Earnings release"}</definedName>
    <definedName name="CondensateBarrelsBeginningInventory">#REF!</definedName>
    <definedName name="CondensateBarrelsEndingInventory">#REF!</definedName>
    <definedName name="CondensateBarrelsProduction">#REF!</definedName>
    <definedName name="CondensateBarrelsSalesAdjusted">#REF!</definedName>
    <definedName name="CondensateGallonsBeginningInventory">#REF!</definedName>
    <definedName name="CondensateGallonsConvertedToMmbtu">#REF!</definedName>
    <definedName name="CondensateGallonsEndingInventory">#REF!</definedName>
    <definedName name="CondensateGallonsProduction">#REF!</definedName>
    <definedName name="CondensateGallonsSales">#REF!</definedName>
    <definedName name="Conductor">#REF!</definedName>
    <definedName name="Conductor_Column">#REF!</definedName>
    <definedName name="Conductor_Info">#REF!</definedName>
    <definedName name="Conductor_OH">#REF!</definedName>
    <definedName name="Conductor_Pick">#REF!</definedName>
    <definedName name="Conduit_Bulks_HV">#REF!</definedName>
    <definedName name="Conduit_Bulks_LV">#REF!</definedName>
    <definedName name="CONOCO_FAC">#REF!</definedName>
    <definedName name="Consolid" localSheetId="15" hidden="1">{#N/A,#N/A,FALSE,"O&amp;M by processes";#N/A,#N/A,FALSE,"Elec Act vs Bud";#N/A,#N/A,FALSE,"G&amp;A";#N/A,#N/A,FALSE,"BGS";#N/A,#N/A,FALSE,"Res Cost"}</definedName>
    <definedName name="Consolid" localSheetId="25" hidden="1">{#N/A,#N/A,FALSE,"O&amp;M by processes";#N/A,#N/A,FALSE,"Elec Act vs Bud";#N/A,#N/A,FALSE,"G&amp;A";#N/A,#N/A,FALSE,"BGS";#N/A,#N/A,FALSE,"Res Cost"}</definedName>
    <definedName name="Consolid" localSheetId="26" hidden="1">{#N/A,#N/A,FALSE,"O&amp;M by processes";#N/A,#N/A,FALSE,"Elec Act vs Bud";#N/A,#N/A,FALSE,"G&amp;A";#N/A,#N/A,FALSE,"BGS";#N/A,#N/A,FALSE,"Res Cost"}</definedName>
    <definedName name="Consolid" hidden="1">{#N/A,#N/A,FALSE,"O&amp;M by processes";#N/A,#N/A,FALSE,"Elec Act vs Bud";#N/A,#N/A,FALSE,"G&amp;A";#N/A,#N/A,FALSE,"BGS";#N/A,#N/A,FALSE,"Res Cost"}</definedName>
    <definedName name="Consolidated" localSheetId="15" hidden="1">{#N/A,#N/A,FALSE,"O&amp;M by processes";#N/A,#N/A,FALSE,"Elec Act vs Bud";#N/A,#N/A,FALSE,"G&amp;A";#N/A,#N/A,FALSE,"BGS";#N/A,#N/A,FALSE,"Res Cost"}</definedName>
    <definedName name="Consolidated" localSheetId="25" hidden="1">{#N/A,#N/A,FALSE,"O&amp;M by processes";#N/A,#N/A,FALSE,"Elec Act vs Bud";#N/A,#N/A,FALSE,"G&amp;A";#N/A,#N/A,FALSE,"BGS";#N/A,#N/A,FALSE,"Res Cost"}</definedName>
    <definedName name="Consolidated" localSheetId="26" hidden="1">{#N/A,#N/A,FALSE,"O&amp;M by processes";#N/A,#N/A,FALSE,"Elec Act vs Bud";#N/A,#N/A,FALSE,"G&amp;A";#N/A,#N/A,FALSE,"BGS";#N/A,#N/A,FALSE,"Res Cost"}</definedName>
    <definedName name="Consolidated" hidden="1">{#N/A,#N/A,FALSE,"O&amp;M by processes";#N/A,#N/A,FALSE,"Elec Act vs Bud";#N/A,#N/A,FALSE,"G&amp;A";#N/A,#N/A,FALSE,"BGS";#N/A,#N/A,FALSE,"Res Cost"}</definedName>
    <definedName name="CONSTR">#N/A</definedName>
    <definedName name="CONSTR1">#N/A</definedName>
    <definedName name="Consumables">#N/A</definedName>
    <definedName name="Contact" hidden="1">#REF!</definedName>
    <definedName name="CONTIN">#N/A</definedName>
    <definedName name="Contingency">#N/A</definedName>
    <definedName name="Contract">#REF!</definedName>
    <definedName name="CORPTAX_DATAMAPDEFINITIONS_DataMap_1" hidden="1">#REF!</definedName>
    <definedName name="CORPTAX_DATAMAPDEFINITIONS_DataMap_2" hidden="1">#REF!</definedName>
    <definedName name="CORPTAX_DATAMAPDEFINITIONS_DataMap_3" hidden="1">#REF!</definedName>
    <definedName name="cost" hidden="1">{#N/A,#N/A,FALSE,"By Month";#N/A,#N/A,FALSE,"Rev By Month";"Print1",#N/A,FALSE,"NA Parts Reporting";"Print2",#N/A,FALSE,"NA Parts Reporting";"Print3",#N/A,FALSE,"NA Parts Reporting"}</definedName>
    <definedName name="Cost_CC_Cont_Total">#REF!</definedName>
    <definedName name="Cost_CC_FPLE_Total">#REF!</definedName>
    <definedName name="Cost_Civil_Othr_Total">#REF!</definedName>
    <definedName name="Cost_Construction_Total">#REF!</definedName>
    <definedName name="Cost_Cont_MA_Total">#REF!</definedName>
    <definedName name="Cost_Conting_Total">#REF!</definedName>
    <definedName name="Cost_Engr_Total">#REF!</definedName>
    <definedName name="Cost_Escal_Total">#REF!</definedName>
    <definedName name="Cost_Fnds_Total">#REF!</definedName>
    <definedName name="Cost_FPLE_MA_Total">#REF!</definedName>
    <definedName name="COST_KW">#N/A</definedName>
    <definedName name="Cost_KW_Total">#REF!</definedName>
    <definedName name="Cost_Misc_Const_Total">#REF!</definedName>
    <definedName name="cost_of_good_sold">#REF!</definedName>
    <definedName name="Cost_Project_Total">#REF!</definedName>
    <definedName name="Cost_Rds_Total">#REF!</definedName>
    <definedName name="Cost_Risk_Total">#REF!</definedName>
    <definedName name="Cost_Savings">#N/A</definedName>
    <definedName name="Cost_Savings_Yearly_Amount">#N/A</definedName>
    <definedName name="Cost_Sub_Cont_Total">#REF!</definedName>
    <definedName name="Cost_Sub_FPLE_Total">#REF!</definedName>
    <definedName name="Cost_Swyrd_Total">#REF!</definedName>
    <definedName name="Cost_TLine_Const_Total">#REF!</definedName>
    <definedName name="Cost_TLine_Matl_Total">#REF!</definedName>
    <definedName name="Cost_WTG_Erec_Total">#REF!</definedName>
    <definedName name="Cost_WTG_Total">#REF!</definedName>
    <definedName name="cost2001">#REF!</definedName>
    <definedName name="CostCenters">#REF!</definedName>
    <definedName name="counter">#REF!</definedName>
    <definedName name="Covenants">#N/A</definedName>
    <definedName name="CP">#N/A</definedName>
    <definedName name="CP_1">#N/A</definedName>
    <definedName name="cp_by_group">#REF!</definedName>
    <definedName name="cp_by_serv_level">#REF!</definedName>
    <definedName name="cp_input_area">#REF!</definedName>
    <definedName name="CP_PG1B">#REF!</definedName>
    <definedName name="cp_pg2">#REF!</definedName>
    <definedName name="cp_pg2b">#REF!</definedName>
    <definedName name="CP_PG3B">#REF!</definedName>
    <definedName name="CPI">#REF!</definedName>
    <definedName name="CPK1X">#REF!</definedName>
    <definedName name="CPK2X">#REF!</definedName>
    <definedName name="CPUC_Cashflow_Summary_Table">#REF!</definedName>
    <definedName name="CR">#REF!</definedName>
    <definedName name="Craft">#REF!</definedName>
    <definedName name="Crane_Type_1">#REF!</definedName>
    <definedName name="Crane_Type_2">#REF!</definedName>
    <definedName name="Crane_Type_3">#REF!</definedName>
    <definedName name="CRD">#N/A</definedName>
    <definedName name="CRE">#N/A</definedName>
    <definedName name="credit_life">#N/A</definedName>
    <definedName name="CREDITS">#REF!</definedName>
    <definedName name="_xlnm.Criteria">#REF!</definedName>
    <definedName name="CROD_S">#REF!</definedName>
    <definedName name="CSG_PRESSURE">OFFSET(#REF!,3,IF(#REF!=1,#REF!+4,5*#REF!),20000,1)</definedName>
    <definedName name="CSTextLen">#REF!</definedName>
    <definedName name="CTY_ANNUAL">#REF!</definedName>
    <definedName name="cty_peak_sum">#REF!</definedName>
    <definedName name="Culvert_Size">#REF!</definedName>
    <definedName name="CUM">#N/A</definedName>
    <definedName name="CURR_PER">#REF!</definedName>
    <definedName name="CURRENCY">#REF!</definedName>
    <definedName name="CurrencyCodes">#REF!</definedName>
    <definedName name="current">#REF!</definedName>
    <definedName name="Current_Month_End">#REF!</definedName>
    <definedName name="Current_Period_End">#REF!</definedName>
    <definedName name="Current_sum">#REF!</definedName>
    <definedName name="Current_Year">#REF!</definedName>
    <definedName name="Current_Year_End">#REF!</definedName>
    <definedName name="currentcase">#REF!</definedName>
    <definedName name="CUST">#N/A</definedName>
    <definedName name="CUST1">#N/A</definedName>
    <definedName name="CUSTAR">#REF!</definedName>
    <definedName name="CUSTOM1">#REF!</definedName>
    <definedName name="CUSTOM2">#REF!</definedName>
    <definedName name="Customer_Refunds_Paid">#N/A</definedName>
    <definedName name="CUT">#REF!</definedName>
    <definedName name="CUTINS">#REF!</definedName>
    <definedName name="CUYAHOGA_FALLS">#REF!</definedName>
    <definedName name="CV">#N/A</definedName>
    <definedName name="CV_2">#N/A</definedName>
    <definedName name="Cwvu.GREY_ALL." hidden="1">#REF!</definedName>
    <definedName name="D">#REF!</definedName>
    <definedName name="D_EAI">#REF!</definedName>
    <definedName name="D_EGSI">#REF!</definedName>
    <definedName name="D_EMI">#REF!</definedName>
    <definedName name="D_ENOI">#REF!</definedName>
    <definedName name="da" localSheetId="15" hidden="1">{#N/A,#N/A,FALSE,"O&amp;M by processes";#N/A,#N/A,FALSE,"Elec Act vs Bud";#N/A,#N/A,FALSE,"G&amp;A";#N/A,#N/A,FALSE,"BGS";#N/A,#N/A,FALSE,"Res Cost"}</definedName>
    <definedName name="da" localSheetId="25" hidden="1">{#N/A,#N/A,FALSE,"O&amp;M by processes";#N/A,#N/A,FALSE,"Elec Act vs Bud";#N/A,#N/A,FALSE,"G&amp;A";#N/A,#N/A,FALSE,"BGS";#N/A,#N/A,FALSE,"Res Cost"}</definedName>
    <definedName name="da" localSheetId="26" hidden="1">{#N/A,#N/A,FALSE,"O&amp;M by processes";#N/A,#N/A,FALSE,"Elec Act vs Bud";#N/A,#N/A,FALSE,"G&amp;A";#N/A,#N/A,FALSE,"BGS";#N/A,#N/A,FALSE,"Res Cost"}</definedName>
    <definedName name="da" hidden="1">{#N/A,#N/A,FALSE,"O&amp;M by processes";#N/A,#N/A,FALSE,"Elec Act vs Bud";#N/A,#N/A,FALSE,"G&amp;A";#N/A,#N/A,FALSE,"BGS";#N/A,#N/A,FALSE,"Res Cost"}</definedName>
    <definedName name="dada" localSheetId="15" hidden="1">{#N/A,#N/A,FALSE,"O&amp;M by processes";#N/A,#N/A,FALSE,"Elec Act vs Bud";#N/A,#N/A,FALSE,"G&amp;A";#N/A,#N/A,FALSE,"BGS";#N/A,#N/A,FALSE,"Res Cost"}</definedName>
    <definedName name="dada" localSheetId="25" hidden="1">{#N/A,#N/A,FALSE,"O&amp;M by processes";#N/A,#N/A,FALSE,"Elec Act vs Bud";#N/A,#N/A,FALSE,"G&amp;A";#N/A,#N/A,FALSE,"BGS";#N/A,#N/A,FALSE,"Res Cost"}</definedName>
    <definedName name="dada" localSheetId="26" hidden="1">{#N/A,#N/A,FALSE,"O&amp;M by processes";#N/A,#N/A,FALSE,"Elec Act vs Bud";#N/A,#N/A,FALSE,"G&amp;A";#N/A,#N/A,FALSE,"BGS";#N/A,#N/A,FALSE,"Res Cost"}</definedName>
    <definedName name="dada" hidden="1">{#N/A,#N/A,FALSE,"O&amp;M by processes";#N/A,#N/A,FALSE,"Elec Act vs Bud";#N/A,#N/A,FALSE,"G&amp;A";#N/A,#N/A,FALSE,"BGS";#N/A,#N/A,FALSE,"Res Cost"}</definedName>
    <definedName name="dae">#REF!</definedName>
    <definedName name="Daily_Encana">#REF!</definedName>
    <definedName name="Daily_Sullivan">#REF!</definedName>
    <definedName name="dasda"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Data">#REF!</definedName>
    <definedName name="data_3">#REF!</definedName>
    <definedName name="data_year">#REF!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4">#REF!</definedName>
    <definedName name="DATA5">#REF!</definedName>
    <definedName name="DATA6">#REF!</definedName>
    <definedName name="DATA7">#REF!</definedName>
    <definedName name="DATA8">#REF!</definedName>
    <definedName name="DATA9">#REF!</definedName>
    <definedName name="_xlnm.Database">OFFSET(#REF!,0,0,COUNTA(#REF!),11)</definedName>
    <definedName name="DATALINE">#REF!</definedName>
    <definedName name="Date" hidden="1">"b1"</definedName>
    <definedName name="Date_Erec_Days">#REF!</definedName>
    <definedName name="Date_Prj_COD">#REF!</definedName>
    <definedName name="DateAcquisition">#N/A</definedName>
    <definedName name="DateComOp">#N/A</definedName>
    <definedName name="DateHeader">#REF!</definedName>
    <definedName name="DateI2">#REF!</definedName>
    <definedName name="DateI3">#REF!</definedName>
    <definedName name="DateI5">#REF!</definedName>
    <definedName name="DateI6">#REF!</definedName>
    <definedName name="DavisBacon">#REF!</definedName>
    <definedName name="Days_in_the_Month">#REF!</definedName>
    <definedName name="DaysInMonth">#REF!</definedName>
    <definedName name="DB_CPK">#N/A</definedName>
    <definedName name="DB_CPK1">#REF!</definedName>
    <definedName name="DB_CPK2">#REF!</definedName>
    <definedName name="DB_CPK3">#REF!</definedName>
    <definedName name="DB_CUST">#N/A</definedName>
    <definedName name="DB_EGR">#N/A</definedName>
    <definedName name="DB_EGR1">#REF!</definedName>
    <definedName name="DB_EGR2">#REF!</definedName>
    <definedName name="DB_IMAX">#N/A</definedName>
    <definedName name="DB_NCPK">#N/A</definedName>
    <definedName name="DB_NCPK1">#REF!</definedName>
    <definedName name="DB_NCPK2">#REF!</definedName>
    <definedName name="DB_NCPK3">#REF!</definedName>
    <definedName name="DB_NCPK4">#REF!</definedName>
    <definedName name="DB_Type">#REF!</definedName>
    <definedName name="dd" hidden="1">{#N/A,#N/A,FALSE,"95CAPGRY"}</definedName>
    <definedName name="DD.">#REF!</definedName>
    <definedName name="ddd" hidden="1">{"CUR",#N/A,FALSE,"Summary";"PE",#N/A,FALSE,"Accounting";"EXPE",#N/A,FALSE,"Accounting";"EXPAS",#N/A,FALSE,"Accounting";"EXPL",#N/A,FALSE,"Accounting"}</definedName>
    <definedName name="ddddd" hidden="1">{"Summary Schedule",#N/A,FALSE,"Sheet1";"Divisional Support",#N/A,FALSE,"Sheet2";"Corporate Support",#N/A,FALSE,"Sheet3"}</definedName>
    <definedName name="dddddda" hidden="1">{"Summary Schedule",#N/A,FALSE,"Sheet1";"Divisional Support",#N/A,FALSE,"Sheet2";"Corporate Support",#N/A,FALSE,"Sheet3"}</definedName>
    <definedName name="DEBITS">#REF!</definedName>
    <definedName name="DEBT">#N/A</definedName>
    <definedName name="Debt_Percent">#REF!</definedName>
    <definedName name="Debt_Schedule">#N/A</definedName>
    <definedName name="DEBT1">#N/A</definedName>
    <definedName name="debtperc">#REF!</definedName>
    <definedName name="DebtTerm">#REF!</definedName>
    <definedName name="DEC">#N/A</definedName>
    <definedName name="DecCP">#REF!</definedName>
    <definedName name="Decisions">1</definedName>
    <definedName name="Decommisioning">#REF!</definedName>
    <definedName name="def_pct">#REF!</definedName>
    <definedName name="DefaultCopy">#REF!</definedName>
    <definedName name="DefaultPaste">#REF!</definedName>
    <definedName name="defcit_pct">#REF!</definedName>
    <definedName name="Deferral_Interest_Rate">#REF!</definedName>
    <definedName name="Deferral_Recovery">#REF!</definedName>
    <definedName name="deficiency_factor">#REF!</definedName>
    <definedName name="deficiency_rate">#REF!</definedName>
    <definedName name="deficit_pct">#REF!</definedName>
    <definedName name="DefTax">#REF!</definedName>
    <definedName name="DEG_HR">#N/A</definedName>
    <definedName name="DEG_POWER">#N/A</definedName>
    <definedName name="DEGR_NET_CAP">#N/A</definedName>
    <definedName name="delete" localSheetId="15" hidden="1">{#N/A,#N/A,FALSE,"CURRENT"}</definedName>
    <definedName name="delete" localSheetId="25" hidden="1">{#N/A,#N/A,FALSE,"CURRENT"}</definedName>
    <definedName name="delete" localSheetId="26" hidden="1">{#N/A,#N/A,FALSE,"CURRENT"}</definedName>
    <definedName name="delete" hidden="1">{#N/A,#N/A,FALSE,"CURRENT"}</definedName>
    <definedName name="Delivery_Start_1">#N/A</definedName>
    <definedName name="Denbury_WASP">#REF!</definedName>
    <definedName name="DenburyResidueValues">#REF!</definedName>
    <definedName name="DEP">#N/A</definedName>
    <definedName name="dep_book">#REF!</definedName>
    <definedName name="depr_group_id_valid_values">#REF!</definedName>
    <definedName name="Depreciation_Life">#N/A</definedName>
    <definedName name="Depreciation_Period">#N/A</definedName>
    <definedName name="Depreciation_Period_Additions">#N/A</definedName>
    <definedName name="Deprecitaion_Additions">#N/A</definedName>
    <definedName name="des" hidden="1">{#N/A,#N/A,FALSE,"Transaction Summary-DTW";#N/A,#N/A,FALSE,"Proforma Five Yr";#N/A,#N/A,FALSE,"Occ and Rate"}</definedName>
    <definedName name="detail">#REF!</definedName>
    <definedName name="DetailCalc" comment="Detail calculation for establishing the regulatory asset or liability along with the tax gross up">#REF!</definedName>
    <definedName name="dfdsfdfs" hidden="1">{"Earnings",#N/A,FALSE,"Earnings";"balancesheet",#N/A,FALSE,"BalanceSheet";"change in cash",#N/A,FALSE,"CashFlow";"oil and gas results",#N/A,FALSE,"Oil and Gas Earnings";"foreign oil and gas results",#N/A,FALSE,"Foreign O&amp;G";"oil and gas details",#N/A,FALSE,"Foreign O&amp;G";"capexsum",#N/A,FALSE,"CAPEX Sum"}</definedName>
    <definedName name="dfg"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dfg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dfg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dfg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dfg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dfg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DFTSR">#REF!</definedName>
    <definedName name="Directbury_Excavation">#REF!</definedName>
    <definedName name="Directbury_Width">#REF!</definedName>
    <definedName name="disc_payback">#REF!</definedName>
    <definedName name="Discount_Rate">#N/A</definedName>
    <definedName name="DISPATCH">#N/A</definedName>
    <definedName name="DISPLAY">#N/A</definedName>
    <definedName name="Dividend">#N/A</definedName>
    <definedName name="DME_BeforeCloseCompleted">"False"</definedName>
    <definedName name="DME_Dirty">"False"</definedName>
    <definedName name="DME_LocalFile">"True"</definedName>
    <definedName name="dmoe" hidden="1">"45E1EZH1GI603A6TQ7A2B7Y0J"</definedName>
    <definedName name="DocumentName" hidden="1">"b1"</definedName>
    <definedName name="DocumentNum" hidden="1">"a1"</definedName>
    <definedName name="DOFTSR">#REF!</definedName>
    <definedName name="Don_10" hidden="1">#REF!</definedName>
    <definedName name="Don_11" hidden="1">255</definedName>
    <definedName name="Don_12" hidden="1">#REF!</definedName>
    <definedName name="Don_13" hidden="1">#REF!</definedName>
    <definedName name="Don_14" hidden="1">#REF!</definedName>
    <definedName name="don_2" hidden="1">#REF!</definedName>
    <definedName name="Don_3" hidden="1">#REF!</definedName>
    <definedName name="Don_4" hidden="1">#REF!</definedName>
    <definedName name="Don_5" hidden="1">#REF!</definedName>
    <definedName name="Don_6" hidden="1">#REF!</definedName>
    <definedName name="Don_7" hidden="1">#REF!</definedName>
    <definedName name="Don_8" hidden="1">#REF!</definedName>
    <definedName name="Don_9" hidden="1">#REF!</definedName>
    <definedName name="DP">#N/A</definedName>
    <definedName name="DP_2">#N/A</definedName>
    <definedName name="DPLT">#REF!</definedName>
    <definedName name="DR">#REF!</definedName>
    <definedName name="DR_1">#N/A</definedName>
    <definedName name="DRB">#REF!</definedName>
    <definedName name="Drop_CWIP">#REF!</definedName>
    <definedName name="dsfds" hidden="1">#REF!</definedName>
    <definedName name="DSR">#N/A</definedName>
    <definedName name="DSR_FEE">#N/A</definedName>
    <definedName name="DSR_MOS">#N/A</definedName>
    <definedName name="Ductbank">#REF!</definedName>
    <definedName name="Ductbank_Excavation">#REF!</definedName>
    <definedName name="Ductbank_Width">#REF!</definedName>
    <definedName name="ea"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fe"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fe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fe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fe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fe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fe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D8_BIOFLORA_Print">#REF!</definedName>
    <definedName name="EDGERTON">#REF!</definedName>
    <definedName name="ee" hidden="1">{"Kontenverteilung",#N/A,FALSE,"H A Ü"}</definedName>
    <definedName name="EEE"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EEE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EEE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EEE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EEE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EEE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eeee" localSheetId="15" hidden="1">{#N/A,#N/A,FALSE,"O&amp;M by processes";#N/A,#N/A,FALSE,"Elec Act vs Bud";#N/A,#N/A,FALSE,"G&amp;A";#N/A,#N/A,FALSE,"BGS";#N/A,#N/A,FALSE,"Res Cost"}</definedName>
    <definedName name="eeee" localSheetId="25" hidden="1">{#N/A,#N/A,FALSE,"O&amp;M by processes";#N/A,#N/A,FALSE,"Elec Act vs Bud";#N/A,#N/A,FALSE,"G&amp;A";#N/A,#N/A,FALSE,"BGS";#N/A,#N/A,FALSE,"Res Cost"}</definedName>
    <definedName name="eeee" localSheetId="26" hidden="1">{#N/A,#N/A,FALSE,"O&amp;M by processes";#N/A,#N/A,FALSE,"Elec Act vs Bud";#N/A,#N/A,FALSE,"G&amp;A";#N/A,#N/A,FALSE,"BGS";#N/A,#N/A,FALSE,"Res Cost"}</definedName>
    <definedName name="eeee" hidden="1">{#N/A,#N/A,FALSE,"O&amp;M by processes";#N/A,#N/A,FALSE,"Elec Act vs Bud";#N/A,#N/A,FALSE,"G&amp;A";#N/A,#N/A,FALSE,"BGS";#N/A,#N/A,FALSE,"Res Cost"}</definedName>
    <definedName name="EEI">#REF!</definedName>
    <definedName name="ef" hidden="1">{#N/A,#N/A,FALSE,"Aging Summary";#N/A,#N/A,FALSE,"Ratio Analysis";#N/A,#N/A,FALSE,"Test 120 Day Accts";#N/A,#N/A,FALSE,"Tickmarks"}</definedName>
    <definedName name="EFF_DATE">#REF!</definedName>
    <definedName name="EFOR">#N/A</definedName>
    <definedName name="EGR">#N/A</definedName>
    <definedName name="EGR1X">#REF!</definedName>
    <definedName name="EIGHT">#N/A</definedName>
    <definedName name="EIN" hidden="1">#REF!</definedName>
    <definedName name="EITF">#N/A</definedName>
    <definedName name="elec_tax">#N/A</definedName>
    <definedName name="ELECT">#N/A</definedName>
    <definedName name="Eletson">#REF!</definedName>
    <definedName name="ELEVEN">#N/A</definedName>
    <definedName name="Ellwood_City">#REF!</definedName>
    <definedName name="ELMORE">#REF!</definedName>
    <definedName name="END">#REF!</definedName>
    <definedName name="EndScenario">#REF!</definedName>
    <definedName name="EndSensitivity">#REF!</definedName>
    <definedName name="ENERGY">#REF!</definedName>
    <definedName name="ENERGY_SUP">#REF!</definedName>
    <definedName name="ENERGY1">#N/A</definedName>
    <definedName name="ENTIRE">#REF!</definedName>
    <definedName name="ENVIRONMENTAL">#REF!</definedName>
    <definedName name="EPC_Cost_CC_Cont_Total">#REF!</definedName>
    <definedName name="EPC_Cost_Civil_Othr_Total">#REF!</definedName>
    <definedName name="EPC_Cost_Construction_Total">#REF!</definedName>
    <definedName name="EPC_Cost_Cont_MA_Total">#REF!</definedName>
    <definedName name="EPC_Cost_Fnds_Total">#REF!</definedName>
    <definedName name="EPC_Cost_Misc_Const_Total">#REF!</definedName>
    <definedName name="EPC_Cost_Rds_Total">#REF!</definedName>
    <definedName name="EPC_Cost_Sub_Cont_Total">#REF!</definedName>
    <definedName name="EPC_Cost_WTG_Erec_Total">#REF!</definedName>
    <definedName name="EPC_Project_Total">#REF!</definedName>
    <definedName name="EPC_TLine_Const_Total">#REF!</definedName>
    <definedName name="EPC_TLine_Matl_Total">#REF!</definedName>
    <definedName name="EPMWorkbookOptions_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10" hidden="1">"zl89Pt5|dvfj/8aC/eiXa/pbJ//9vjvJNP7B||PDh/3/HGxry3|fN/2emdsM33hffLmazfGk7bjod|E03mPPX8|qq4/sC3cd3I19sepWJGXkzQmR|kcx3m79rn2WXVV20hJd7t/fVLV5/VtRNe8RmOA5EGnQg3ejK3L5VnAd|tOjjN9zspHKTiNYaWOD49DbSrFC/lkzru19DsvXNn6X4ZIgg939EkJAgtzJtCvXnBUH|P59D/6YJ8uD/6wT5Bg"</definedName>
    <definedName name="EPMWorkbookOptions_11" hidden="1">"N7H82vYeg4bvj6lo5WJD|9d2/n9pbufZYU/j9i6eKh1zYi/P|v8|k3TJI3X778/EckcSQ5e0JZytM3PyKJJcnpC1p9|X1|JDedLM7Zi//PM8n/m0zeFy|/tsW7d|/|/f39/dsbvL33MHj/H1l3AgEdk96jXymj/PuTcv//Oo9|cwQ52SXX6P9f5Pgwctz/ETl6vtCPCGL4gwjy/3Vi/L/Hvh1/9fTszdnTr23iSHPt0|Lp7U3cvfcwcf8fiemUh"</definedName>
    <definedName name="EPMWorkbookOptions_12" hidden="1">"qHYfvvWa4gK9/|VjPrNkuTs9Zufv5o9SpKzp7//2ckXPyJJSJIfiU6XKK9Pvv309//i89//1enJ8|PX/58Pef9fZP9OTt58feP33mt3||9h/f4/EuCBgo5Z9|jX4z0K8V79f51Hvxl6QHiPd5|9|PLJj|hhldn/P3yj//coMcRIL9|8|tp67NMHuzsHBw9ur8bu//9PjSkNQ049efkjTv1mOfWrr8|l729tP/3/IZt|BRal/331|un/19nyg2lw"</definedName>
    <definedName name="EPMWorkbookOptions_13" hidden="1">"cvwjGjw/|f86Cf7fo53evPl9Xp7|EPXTg///6ScmYWhEHz58|P91Fv0GqfHmzf8/0hv/75Hanzz9YfoUB///k1kioNiSn/x5m5x1JHi1c/Dzngj/P0hJ/79HPX1xevz6q1enr3|IOurhz7mO|sZ1lKGiMOjv8|bnreMfEuLl6auzL5|e/X8|BvhmqLG798WX5Gb9vE09h9T4iR8JidUWL360ZPZejQJs4o0e3z1ercpimrUEx34efGqaE7RquST"</definedName>
    <definedName name="EPMWorkbookOptions_14" hidden="1">"E6bOnWZuZj6Of0udCtUW5bD77aN62q0d377b5YrWui3FVX9z9qslrh9P4XTP76Oj3f/byi9//ycuTF9/d3fn9v6cvNdnqYrY7Pl|V42m1eHSws7OLz|5OVtO73//9v0fNd|nHyZfEHb//986zssmJSwLOeOyP5j1R8kgVo5Qd6REQ6PQr5BlkiI1SceMaDK/RffvWi3RfTx6|jiRskoH3HvJXkWX0s6e3D77/vzls4qXPTzqLGJ|/|PLF6f9/h/"</definedName>
    <definedName name="EPMWorkbookOptions_15" hidden="1">"zm7ItOjmWP/OXx/88n|usn2v6/Od7QpEN3/f63jAL|3zDeDd94X3y7mM3ype24Z7e9prbRTxZNMSnKIpI4ioajMAW3C0UfCzpHGOvju/rHhgHfjNI3MwBR7P|fHsN7Ldj/v3YMZGn|Pz0CGI7/Tw/g1pnvbxr/oPFGreWPc0NE8npeuU4luyW4Rr7Y9CqPPvJmhCr8IkUgbf6ufZZdVnXREl4cBcjLve9u8f6zom5aD4H49x1AFsuftRzk7ZW|D"</definedName>
    <definedName name="EPMWorkbookOptions_16" hidden="1">"|Br5x93/v|Xf/ygCEqhfi0/RN|NzN3t3v3ZSrGEBNllguy|Pj359v/XCfINJlo|VGrfx9OJCe7Ozj7lPG4vt7v/P5Tbrz4wDaCQf8Sq/XYdh/Zr8|m9e/fv7|/v355P9/7/x6cgYCdtc9usjcL8fyWHfjPkgLk9EXP75v8HFuYbJ8p3z17cKhOikH9|EOVHBLEE2d/Z2fnhkuObJ8f/u2zdrZM3EXP36YPdnYODB7c3d/f|/2nuiIYdi/fyR17Z"</definedName>
    <definedName name="EPMWorkbookOptions_17" hidden="1">"N8ypt07RRfiUwodPP7137z3ih/3/PzLqB6ynKdT/V3LpN0mQ46e8hv4jihiKPHv5Iy0WNLtVqyEt9tXXt7Xvn7u8//9DHfYVDC3976vXP3/DBEMDUlb/X6fB/3tE8/YraN|IbH76/z/ZBAVD27FHRBn//8IR/iZpsnPw/w|a/L9Idt/8Pi9/mML74P|HwgsShpz68OHD/6|z6DdIjTdvfrTQ8s1K7U|e/jCd4YP//8ksETDk0Z988/sfH/9/nUG"</definedName>
    <definedName name="EPMWorkbookOptions_18" hidden="1">"/OWr8KFEcNLtVqwFZ/eL0|PVXr05f/xAF9uH//wTWUFHCN6zs/P6/z5v/z8dw3ww1fkQIny1env68XfQLqUGEePEjSiglzr58enby/3VqfING7RaNAmzijR7fPV6tymKatQTHfh58apoTtGq5JMTps6dZm/HH/odvqu7gH7/Kz|u8mX|5/HKVL4/Os7LJH98NP|R2J2We1QD65fJ1dpmblt2Pue13q/rtpKrekilrmYymdf|LsP3VTGft8Vnzk1"</definedName>
    <definedName name="EPMWorkbookOptions_19" hidden="1">"ldZJMy/yKvLxyE3ue/ceLAfrkSavw/AQAA///T|y/zFL8AAA=="</definedName>
    <definedName name="EPMWorkbookOptions_2" hidden="1">"73ImntHK7EFLONWYoC7fE37y7nXi63fxHS3iv392AQAA"</definedName>
    <definedName name="EPMWorkbookOptions_3" hidden="1">"Bx9QaODJWiNzCyw/MrPXYvAcXV6Opsp0FPd6OlIVUWFn1XWbE+fS0ec2uuQmbYHnq+2xpCziN5qTqn6fl77H6G8pj6rrpaLcSHz8zg4Gg+r6e8W/iuMroizOnsiJZExMwwDWS8PuCV4vha5M19TNjek9Z3Jh6Isdg6flpHDzuzP0fWXw8J8TDr/fpXwc2EtXqX3wv5VL7wCSlZL7IPzBlduDZbnvQCBgpfYASdL/0/9Y4ZO6EfXzuAhLaIt8"</definedName>
    <definedName name="EPMWorkbookOptions_4" hidden="1">"bx8b5eyNDcO+pmScqhp4n1IzhUpQEa1yPfDkjbVHG5oe6lew0txXTuRlqD82oetFOpCe/8rQSy/fBpS11JdlN2pgjxsjux2CpPpkxEDajQjqitAAcEgw+P4i1brrbLRnCdoOgCisyE63swb6Gut0DRqj2+sB1u8AgBEaaNOG3qN7OuW3HK+VYnimuZ4MNmDlAWM/K0vD8868LyyS8yo9tPqpmeDbdzVb3VNT4PyAtAMg/mJ2UQPxgfT9hS4r"</definedName>
    <definedName name="EPMWorkbookOptions_5" hidden="1">"T8az6xrIAQhJEKooceOayIEIQZCqwCtTgSs7EwbP8gUc0ZB/T+w+skRL0zuCoPsEkV3uyArK3Vd3aEPLhQzVvKFICx6t5moq0T1eca5yonRTQwmhUOhS5iYqUr+ZeL5TgrewVIJKcSQw+w5fiv5RVKdD03R2/WtXT/++8qguNFrIEM2Vx1g626lAnEegeBOyjo/EeDnb3YA3gSgV2DMqltBlfhKUonXdHkn0+73sWkdVU+u+ckgjNFzISM2Z"</definedName>
    <definedName name="EPMWorkbookOptions_6" hidden="1">"iSAKpf+KL9LgzfwINH2bptulqA/s09BVHLsI4asoZaUKbCfmCOSsp6kJGmc9SU3GxvQnvxB4pUZyfK45Y4URJ5adSIFkLus5mTSR+/Cz904FRe6D52lDQ4UMyy8z4NjSMyjO0FSm84wnwHIZm90PjE0NDPTBgB5ghq5TGN0h+5i+7mmY1jUofUB12u21UYCx6ROM60ebIOkW0S17kOYNpFcDiQPp10DiQDo1kAgQqlWJDagCaV324865iF2v"</definedName>
    <definedName name="EPMWorkbookOptions_7" hidden="1">"ehPRz//kKTRZyBDNkYaiVOOEUHFGbeYj/rmM2X71xuwnf7YX2itkdOaHQlFZtqZxoCFxZ3teLQljcb5LuDQYpZ+cF0fS5jwrLxe8/B/q2qB6unaguN8VvFFKvyuYDwj/iI36Z01jT6MGEQ0L6XyPo8VpIBBTcTQt/SGBHDUtQ6FYb9ILMXja26RiqYfiyFryDVvRxORbuZgFWEPg3ouW6ADr8FPleGJQjtsADfpGRUvWHsGh5OvkoOzh9WNI"</definedName>
    <definedName name="EPMWorkbookOptions_8" hidden="1">"ybwA46F0MiNefmeEd42ZulcaNDV9A+YA3h0tJNK/fzuaDV93NvwH85n/ASlNAAA="</definedName>
    <definedName name="EPMWorkbookOptions_9" hidden="1">"M/Nx9FP6XKi2KJfNZx/N23b16O7dNl|s1nUxruqLu181ee1wGr9rZh8d/f7PXn7x|z95efLiu7s7v//39KWLir7b39t/dEC567tNtro7WU3vfv/3/x413KUfJ1||eP37Pz/9nIKo3/9751nZ5MQlAWc89kfznih5pIpRyo70yKHR6V2INMgWG2UjIhXHJydvnCnDgvfx3ovT01e3EY2vJxRfRxw2CcL7jvjkyy9e9tYyTm6/yvP/1VG/|PwkHPO"</definedName>
    <definedName name="EPRI">#REF!</definedName>
    <definedName name="EQUITY">#N/A</definedName>
    <definedName name="Equity_Percent">#REF!</definedName>
    <definedName name="Equity_Sponsor_Participation">#N/A</definedName>
    <definedName name="er"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erase" hidden="1">{#N/A,#N/A,TRUE,"TOTAL DISTRIBUTION";#N/A,#N/A,TRUE,"SOUTH";#N/A,#N/A,TRUE,"NORTHEAST";#N/A,#N/A,TRUE,"WEST"}</definedName>
    <definedName name="EREC_CRANE">#REF!</definedName>
    <definedName name="erg"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_1"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_163"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_2"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_3"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_4"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_5"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srg" hidden="1">{TRUE,TRUE,-1.25,-21.5,964.5,725.25,FALSE,FALSE,TRUE,FALSE,35,3,22,1,#N/A,14.0676691729323,49.5294117647059,1,TRUE,FALSE,3,FALSE,1,FALSE,100,"Swvu.Table.","ACwvu.Table.",#N/A,FALSE,FALSE,0.75,0.75,1,1,1,"&amp;A","Page &amp;P",FALSE,FALSE,FALSE,FALSE,1,70,#N/A,#N/A,FALSE,FALSE,"Rwvu.Table.",#N/A,FALSE,FALSE,TRUE,1,65532,65532,FALSE,FALSE,FALSE,FALSE,FALSE}</definedName>
    <definedName name="EROA">#REF!</definedName>
    <definedName name="error">#REF!</definedName>
    <definedName name="ert4e" hidden="1">{#N/A,#N/A,TRUE,"TOTAL DISTRIBUTION";#N/A,#N/A,TRUE,"SOUTH";#N/A,#N/A,TRUE,"NORTHEAST";#N/A,#N/A,TRUE,"WEST"}</definedName>
    <definedName name="ertwertwtr" hidden="1">{"Earnings",#N/A,FALSE,"Earnings";"US EP Earnings",#N/A,FALSE,"US E&amp;P";"CapEx",#N/A,FALSE,"CAPEX Sum";"qtr review for IR",#N/A,FALSE,"Quarters";"EP Summary",#N/A,FALSE,"E&amp;P Summary";"Canada EP Earnings",#N/A,FALSE,"Canada E&amp;P";"Europe EP Earnings",#N/A,FALSE,"Eur E&amp;P";"Other EP Earnings",#N/A,FALSE,"Other Foreign E&amp;P"}</definedName>
    <definedName name="ertyertyeyt" hidden="1">{TRUE,TRUE,-1.25,-21.5,964.5,725.25,FALSE,FALSE,TRUE,FALSE,35,3,22,1,#N/A,14.0676691729323,49.5294117647059,1,TRUE,FALSE,3,FALSE,1,FALSE,100,"Swvu.Table.","ACwvu.Table.",#N/A,FALSE,FALSE,0.75,0.75,1,1,1,"&amp;A","Page &amp;P",FALSE,FALSE,FALSE,FALSE,1,70,#N/A,#N/A,FALSE,FALSE,"Rwvu.Table.",#N/A,FALSE,FALSE,TRUE,1,65532,65532,FALSE,FALSE,FALSE,FALSE,FALSE}</definedName>
    <definedName name="ertyertyreyt" hidden="1">{TRUE,TRUE,-1.25,-15.5,484.5,253.5,FALSE,FALSE,TRUE,TRUE,0,1,#N/A,1,3,14.8947368421053,2,3,FALSE,TRUE,3,TRUE,1,TRUE,80,"Swvu.Assumptions.","ACwvu.Assumptions.",#N/A,FALSE,FALSE,0.65,0.5,1.25,1,1,"","",TRUE,FALSE,FALSE,FALSE,1,#N/A,1,1,"=R1C1:R64C13",FALSE,"Rwvu.Assumptions.",#N/A,FALSE,FALSE,FALSE,1,#N/A,#N/A,FALSE,FALSE,TRUE,TRUE,TRUE}</definedName>
    <definedName name="ertyertyryt" hidden="1">{"US RM Earnings Summary",#N/A,FALSE,"US R&amp;M";"US RM Realization Data",#N/A,FALSE,"US R&amp;M";"For RM Earnings Detail",#N/A,FALSE,"Foreign R&amp;M";"For RM Real and Vol Detail",#N/A,FALSE,"Foreign R&amp;M"}</definedName>
    <definedName name="ertyerytrty" hidden="1">{TRUE,TRUE,-1.25,-15.5,604.5,343.5,FALSE,FALSE,TRUE,TRUE,0,1,2,1,5,1,4,4,TRUE,TRUE,3,TRUE,1,TRUE,85,"Swvu.earnings.","ACwvu.earnings.",#N/A,FALSE,FALSE,0.75,0.75,1,1,2,"","",TRUE,FALSE,FALSE,FALSE,1,#N/A,1,1,"=R1C1:R39C12",FALSE,#N/A,#N/A,FALSE,FALSE,FALSE,1,#N/A,#N/A,FALSE,FALSE,TRUE,TRUE,TRUE}</definedName>
    <definedName name="ertyrtyrey" hidden="1">{TRUE,TRUE,-1.25,-15.5,604.5,343.5,FALSE,FALSE,TRUE,TRUE,0,1,#N/A,1,4,14.1666666666667,3,3,FALSE,TRUE,3,TRUE,1,TRUE,85,"Swvu.foreign._.oil._.and._.gas._.results.","ACwvu.foreign._.oil._.and._.gas._.results.",#N/A,FALSE,FALSE,0.75,0.75,1,1,1,"","",TRUE,FALSE,FALSE,FALSE,1,#N/A,1,1,"=R1C1:R56C11","=R1:R3",#N/A,#N/A,FALSE,FALSE,FALSE,1,#N/A,#N/A,FALSE,FALSE,TRUE,TRUE,TRUE}</definedName>
    <definedName name="ESA">#N/A</definedName>
    <definedName name="ESC_BOILER_FUEL">#N/A</definedName>
    <definedName name="ESC_DUCT_FUEL">#N/A</definedName>
    <definedName name="ESC_EXCESS_ELEC">#N/A</definedName>
    <definedName name="ESC_GT_FUEL">#N/A</definedName>
    <definedName name="ESC_HOST_CAP">#N/A</definedName>
    <definedName name="ESC_O_M">#N/A</definedName>
    <definedName name="ESC_STEAM">#N/A</definedName>
    <definedName name="ESC_UTIL">#N/A</definedName>
    <definedName name="EscalationCOP_TIK">#REF!</definedName>
    <definedName name="EscalationEncana">#REF!</definedName>
    <definedName name="EscalationXTO">#REF!</definedName>
    <definedName name="EssAliasTable">"Default"</definedName>
    <definedName name="EssLatest">"Q1 FY99"</definedName>
    <definedName name="EssOptions">"2100000010120000_01000"</definedName>
    <definedName name="EST" hidden="1">{#N/A,#N/A,FALSE,"Summary";#N/A,#N/A,FALSE,"Adj to Option C";#N/A,#N/A,FALSE,"Dividend Analysis";#N/A,#N/A,FALSE,"Reserve Analysis";#N/A,#N/A,FALSE,"Depreciation";#N/A,#N/A,FALSE,"Other Tax Adj"}</definedName>
    <definedName name="EST_BY_ACCT">#REF!</definedName>
    <definedName name="EST_COMFEE">#N/A</definedName>
    <definedName name="Est_Details">#REF!</definedName>
    <definedName name="EST_FINCFEE">#N/A</definedName>
    <definedName name="EST_T5">#N/A</definedName>
    <definedName name="EST_TYPE">#REF!</definedName>
    <definedName name="Estimate" hidden="1">{#N/A,#N/A,FALSE,"Summary";#N/A,#N/A,FALSE,"Adj to Option C";#N/A,#N/A,FALSE,"Dividend Analysis";#N/A,#N/A,FALSE,"Reserve Analysis";#N/A,#N/A,FALSE,"Depreciation";#N/A,#N/A,FALSE,"Other Tax Adj"}</definedName>
    <definedName name="estimate2" hidden="1">{#N/A,#N/A,FALSE,"Summary";#N/A,#N/A,FALSE,"Adj to Option C";#N/A,#N/A,FALSE,"Dividend Analysis";#N/A,#N/A,FALSE,"Reserve Analysis";#N/A,#N/A,FALSE,"Depreciation";#N/A,#N/A,FALSE,"Other Tax Adj"}</definedName>
    <definedName name="ESTIMATOR">#REF!</definedName>
    <definedName name="ET">#N/A</definedName>
    <definedName name="ETHANE">#REF!</definedName>
    <definedName name="etl"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etret"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etrtyrtyerty" hidden="1">{"Fact Sheet",#N/A,FALSE,"Fact";"Earnings_Summary",#N/A,FALSE,"Earnings Model";"Balance Sheet",#N/A,FALSE,"Balance";"Change in Cash",#N/A,FALSE,"Cashflow";"normalengs",#N/A,FALSE,"NormalEngs";"NormalGrowth",#N/A,FALSE,"NormalGrowth"}</definedName>
    <definedName name="etyertyrty" hidden="1">{"US EP Earn and Prof Analysis",#N/A,FALSE,"USE&amp;P ";"US EP Price Vol Detail",#N/A,FALSE,"USE&amp;P "}</definedName>
    <definedName name="EV__LASTREFTIME__" hidden="1">39826.8319444444</definedName>
    <definedName name="EV_Gas_Pricing_Meter">#REF!</definedName>
    <definedName name="evt" hidden="1">{#N/A,#N/A,FALSE,"INPUTDATA";#N/A,#N/A,FALSE,"SUMMARY";#N/A,#N/A,FALSE,"CTAREP";#N/A,#N/A,FALSE,"CTBREP";#N/A,#N/A,FALSE,"TURBEFF";#N/A,#N/A,FALSE,"Condenser Performance"}</definedName>
    <definedName name="ewrtwertewrt" hidden="1">{"Balance Sheet",#N/A,FALSE,"Balance";"Balance Sheet Details",#N/A,FALSE,"Balance";"Change in Cash",#N/A,FALSE,"Cashflow"}</definedName>
    <definedName name="Excavation">#REF!</definedName>
    <definedName name="Exch">#N/A</definedName>
    <definedName name="exch_rate7">#REF!</definedName>
    <definedName name="EXCHANGE">#N/A</definedName>
    <definedName name="Exchange_Rate">#REF!</definedName>
    <definedName name="ExistCap" hidden="1">{#N/A,#N/A,FALSE,"Process Flowchart";#N/A,#N/A,FALSE,"Financial Assumptions";#N/A,#N/A,FALSE,"Profit &amp; Loss";#N/A,#N/A,FALSE,"DL Summary ";#N/A,#N/A,FALSE,"DL Worksheet";#N/A,#N/A,FALSE,"Indirect Cell";#N/A,#N/A,FALSE,"Capital";#N/A,#N/A,FALSE,"Tooling";#N/A,#N/A,FALSE,"Factory Committed";#N/A,#N/A,FALSE,"New Products";#N/A,#N/A,FALSE,"Process Validation"}</definedName>
    <definedName name="ExpandOutputs">#N/A</definedName>
    <definedName name="ExpandVPeriods">#N/A</definedName>
    <definedName name="Expense" hidden="1">{"'W.W. Summary'!$A$1:$K$37"}</definedName>
    <definedName name="ExportFile">#N/A</definedName>
    <definedName name="Exposures">#REF!</definedName>
    <definedName name="ExposuresRev">#REF!</definedName>
    <definedName name="F">#REF!</definedName>
    <definedName name="f_currency7">#REF!</definedName>
    <definedName name="FACE">#REF!</definedName>
    <definedName name="FACTORS">#REF!</definedName>
    <definedName name="FACTRS">#REF!</definedName>
    <definedName name="faith" hidden="1">{#N/A,#N/A,FALSE,"Aging Summary";#N/A,#N/A,FALSE,"Ratio Analysis";#N/A,#N/A,FALSE,"Test 120 Day Accts";#N/A,#N/A,FALSE,"Tickmarks"}</definedName>
    <definedName name="FDN_Controlling_Load">#REF!</definedName>
    <definedName name="fe" hidden="1">{#N/A,#N/A,TRUE,"Cover";#N/A,#N/A,TRUE,"Comments PCS";#N/A,#N/A,TRUE,"Comments CIG";#N/A,#N/A,TRUE,"Comments IDEN";#N/A,#N/A,TRUE,"BS PCS";#N/A,#N/A,TRUE,"BS CIG";#N/A,#N/A,TRUE,"BS IDEN";#N/A,#N/A,TRUE,"BS TOTAL";#N/A,#N/A,TRUE,"BS_ESG ";#N/A,#N/A,TRUE,"Balance SPS";#N/A,#N/A,TRUE,"BS_CORPORATE";#N/A,#N/A,TRUE,"P&amp;L PCS";#N/A,#N/A,TRUE,"P&amp;L FWT";#N/A,#N/A,TRUE,"P&amp;L CIG";#N/A,#N/A,TRUE,"P&amp;L IDEN";#N/A,#N/A,TRUE,"P&amp;L TOTAL";#N/A,#N/A,TRUE,"P&amp;L_SPS";#N/A,#N/A,TRUE,"P&amp;L_ESG";#N/A,#N/A,TRUE,"P&amp;L_CORP";#N/A,#N/A,TRUE,"Cash Flow PCS";#N/A,#N/A,TRUE,"Cash Flow CIG";#N/A,#N/A,TRUE,"Cash Flow IDEN";#N/A,#N/A,TRUE,"Cash Flow TOTAL";#N/A,#N/A,TRUE,"MBR PCS";#N/A,#N/A,TRUE,"MBR CIG";#N/A,#N/A,TRUE,"MBR iDEN";#N/A,#N/A,TRUE,"MBR_FWT";#N/A,#N/A,TRUE,"MBR TOTAL";#N/A,#N/A,TRUE,"Headcount_PCS ";#N/A,#N/A,TRUE,"Headcount CIG";#N/A,#N/A,TRUE,"Headcount iDEN";#N/A,#N/A,TRUE,"JAG PLANT TREND";#N/A,#N/A,TRUE,"FAB UN CSG ";#N/A,#N/A,TRUE,"FAB UN CIG";#N/A,#N/A,TRUE,"FAB UN PPG";#N/A,#N/A,TRUE,"FAB UN IDEN";#N/A,#N/A,TRUE,"FAB UN FWT";#N/A,#N/A,TRUE,"CSS MFG";#N/A,#N/A,TRUE,"CSS Distr";#N/A,#N/A,TRUE,"CSG 6-Up Charts";#N/A,#N/A,TRUE,"CIG MFG";#N/A,#N/A,TRUE,"IDEN MFG";#N/A,#N/A,TRUE,"IDEN 6-Up Charts  ";#N/A,#N/A,TRUE,"FWT MFG";#N/A,#N/A,TRUE,"FWT 6-Up Charts ";#N/A,#N/A,TRUE,"PCS Inventory";#N/A,#N/A,TRUE,"CIG Inventory";#N/A,#N/A,TRUE,"IDEN Inventory";#N/A,#N/A,TRUE,"FWT Inventory";#N/A,#N/A,TRUE,"CE JAG Inventory";#N/A,#N/A,TRUE,"Capital Expenditures";#N/A,#N/A,TRUE,"FM CSG";#N/A,#N/A,TRUE,"NSAD ASP CGS";#N/A,#N/A,TRUE,"FM CIG";#N/A,#N/A,TRUE,"NSAD ASP CIG";#N/A,#N/A,TRUE,"FM iDEN";#N/A,#N/A,TRUE,"NSAD IDEN";#N/A,#N/A,TRUE,"R&amp;D  Report";#N/A,#N/A,TRUE,"PCS Credit";#N/A,#N/A,TRUE,"PCS Mrg Analysis";#N/A,#N/A,TRUE,"Dpc Tango";#N/A,#N/A,TRUE,"Startac Analog";#N/A,#N/A,TRUE,"Mercury CDMA";#N/A,#N/A,TRUE,"Startac CDMA";#N/A,#N/A,TRUE,"Startac TDMA";#N/A,#N/A,TRUE,"Modulus TDMA";#N/A,#N/A,TRUE,"CIG Mrg Analysis";#N/A,#N/A,TRUE,"IDEN Mrg Analysis"}</definedName>
    <definedName name="FED">#REF!</definedName>
    <definedName name="fed_inc_tax">#REF!</definedName>
    <definedName name="Federal_Rate">#REF!</definedName>
    <definedName name="FeeRateSchedule">#REF!</definedName>
    <definedName name="fer" hidden="1">{2;#N/A;"R13C16:R17C16";#N/A;"R13C14:R17C15";FALSE;FALSE;FALSE;95;#N/A;#N/A;"R13C19";#N/A;FALSE;FALSE;FALSE;FALSE;#N/A;"";#N/A;FALSE;"";"";#N/A;#N/A;#N/A}</definedName>
    <definedName name="ferfe" hidden="1">{#N/A,#N/A,TRUE,"Cover";#N/A,#N/A,TRUE,"Comments PCS";#N/A,#N/A,TRUE,"Comments CIG";#N/A,#N/A,TRUE,"Comments IDEN";#N/A,#N/A,TRUE,"BS PCS";#N/A,#N/A,TRUE,"BS CIG";#N/A,#N/A,TRUE,"BS IDEN";#N/A,#N/A,TRUE,"BS TOTAL";#N/A,#N/A,TRUE,"BS_ESG ";#N/A,#N/A,TRUE,"Balance SPS";#N/A,#N/A,TRUE,"BS_CORPORATE";#N/A,#N/A,TRUE,"P&amp;L PCS";#N/A,#N/A,TRUE,"P&amp;L FWT";#N/A,#N/A,TRUE,"P&amp;L CIG";#N/A,#N/A,TRUE,"P&amp;L IDEN";#N/A,#N/A,TRUE,"P&amp;L TOTAL";#N/A,#N/A,TRUE,"P&amp;L_SPS";#N/A,#N/A,TRUE,"P&amp;L_ESG";#N/A,#N/A,TRUE,"P&amp;L_CORP";#N/A,#N/A,TRUE,"Cash Flow PCS";#N/A,#N/A,TRUE,"Cash Flow CIG";#N/A,#N/A,TRUE,"Cash Flow IDEN";#N/A,#N/A,TRUE,"Cash Flow TOTAL";#N/A,#N/A,TRUE,"MBR PCS";#N/A,#N/A,TRUE,"MBR CIG";#N/A,#N/A,TRUE,"MBR iDEN";#N/A,#N/A,TRUE,"MBR_FWT";#N/A,#N/A,TRUE,"MBR TOTAL";#N/A,#N/A,TRUE,"Headcount_PCS ";#N/A,#N/A,TRUE,"Headcount CIG";#N/A,#N/A,TRUE,"Headcount iDEN";#N/A,#N/A,TRUE,"JAG PLANT TREND";#N/A,#N/A,TRUE,"FAB UN CSG ";#N/A,#N/A,TRUE,"FAB UN CIG";#N/A,#N/A,TRUE,"FAB UN PPG";#N/A,#N/A,TRUE,"FAB UN IDEN";#N/A,#N/A,TRUE,"FAB UN FWT";#N/A,#N/A,TRUE,"CSS MFG";#N/A,#N/A,TRUE,"CSS Distr";#N/A,#N/A,TRUE,"CSG 6-Up Charts";#N/A,#N/A,TRUE,"CIG MFG";#N/A,#N/A,TRUE,"IDEN MFG";#N/A,#N/A,TRUE,"IDEN 6-Up Charts  ";#N/A,#N/A,TRUE,"FWT MFG";#N/A,#N/A,TRUE,"FWT 6-Up Charts ";#N/A,#N/A,TRUE,"PCS Inventory";#N/A,#N/A,TRUE,"CIG Inventory";#N/A,#N/A,TRUE,"IDEN Inventory";#N/A,#N/A,TRUE,"FWT Inventory";#N/A,#N/A,TRUE,"CE JAG Inventory";#N/A,#N/A,TRUE,"Capital Expenditures";#N/A,#N/A,TRUE,"FM CSG";#N/A,#N/A,TRUE,"NSAD ASP CGS";#N/A,#N/A,TRUE,"FM CIG";#N/A,#N/A,TRUE,"NSAD ASP CIG";#N/A,#N/A,TRUE,"FM iDEN";#N/A,#N/A,TRUE,"NSAD IDEN";#N/A,#N/A,TRUE,"R&amp;D  Report";#N/A,#N/A,TRUE,"PCS Credit";#N/A,#N/A,TRUE,"PCS Mrg Analysis";#N/A,#N/A,TRUE,"Dpc Tango";#N/A,#N/A,TRUE,"Startac Analog";#N/A,#N/A,TRUE,"Mercury CDMA";#N/A,#N/A,TRUE,"Startac CDMA";#N/A,#N/A,TRUE,"Startac TDMA";#N/A,#N/A,TRUE,"Modulus TDMA";#N/A,#N/A,TRUE,"CIG Mrg Analysis";#N/A,#N/A,TRUE,"IDEN Mrg Analysis"}</definedName>
    <definedName name="few" hidden="1">{#N/A,#N/A,FALSE,"Ratios-Marathon";#N/A,#N/A,FALSE,"Share Proof-Marathon";#N/A,#N/A,FALSE,"Per Share-Marathon"}</definedName>
    <definedName name="f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1_INPUT">#REF!</definedName>
    <definedName name="FF1_INPUT_columns">#REF!</definedName>
    <definedName name="fff" hidden="1">{#N/A,#N/A,FALSE,"SUMMARY";#N/A,#N/A,FALSE,"INPUTDATA";#N/A,#N/A,FALSE,"Condenser Performance"}</definedName>
    <definedName name="fffffffffffff">#REF!</definedName>
    <definedName name="FFO">#N/A</definedName>
    <definedName name="FFUUsage">#REF!</definedName>
    <definedName name="fhk" hidden="1">{#N/A,#N/A,FALSE,"P&amp;L";#N/A,#N/A,FALSE,"DL Worksheet";#N/A,#N/A,FALSE,"Ind. Cell";#N/A,#N/A,FALSE,"Capital";#N/A,#N/A,FALSE,"Tooling";#N/A,#N/A,FALSE,"LRP"}</definedName>
    <definedName name="Fibro_Q1">#REF!</definedName>
    <definedName name="Fibro_Q2">#REF!</definedName>
    <definedName name="Fibro_Q3">#REF!</definedName>
    <definedName name="final" hidden="1">{#N/A,#N/A,FALSE,"Outlook for Month ";#N/A,#N/A,FALSE,"Risk for Month ";#N/A,#N/A,FALSE,"Upside for Month"}</definedName>
    <definedName name="Finance_Fees_Amort._Period">#N/A</definedName>
    <definedName name="FINCFEE">#N/A</definedName>
    <definedName name="findwrn" hidden="1">{#N/A,#N/A,TRUE,"TOTAL DISTRIBUTION";#N/A,#N/A,TRUE,"SOUTH";#N/A,#N/A,TRUE,"NORTHEAST";#N/A,#N/A,TRUE,"WEST"}</definedName>
    <definedName name="findwrnor" hidden="1">{#N/A,#N/A,TRUE,"TOTAL DSBN";#N/A,#N/A,TRUE,"WEST";#N/A,#N/A,TRUE,"SOUTH";#N/A,#N/A,TRUE,"NORTHEAST"}</definedName>
    <definedName name="FINISH" hidden="1">{#N/A,#N/A,TRUE,"TOTAL DISTRIBUTION";#N/A,#N/A,TRUE,"SOUTH";#N/A,#N/A,TRUE,"NORTHEAST";#N/A,#N/A,TRUE,"WEST"}</definedName>
    <definedName name="FIVE">#N/A</definedName>
    <definedName name="Fnd_Qty_Conc">#REF!</definedName>
    <definedName name="Fnd_Qty_Excav">#REF!</definedName>
    <definedName name="Fnd_Qty_Slurry">#REF!</definedName>
    <definedName name="FO_HOURS">#N/A</definedName>
    <definedName name="Ford.Verkf" hidden="1">{"Kontenverteilung",#N/A,FALSE,"H A Ü"}</definedName>
    <definedName name="ForderungenVerk" hidden="1">{"Alles",#N/A,FALSE,"H A Ü"}</definedName>
    <definedName name="ForeignProvince" hidden="1">#REF!</definedName>
    <definedName name="Form" hidden="1">#REF!</definedName>
    <definedName name="forney" hidden="1">{"Complete Budget",#N/A,FALSE,"Title";"Complete budget",#N/A,FALSE,"Accrual Summary";"Complete budget",#N/A,FALSE,"Accrual-Detail";"Complete budget",#N/A,FALSE,"Accrual-Captions";"Complete budget",#N/A,FALSE,"Accrual-GL Level";"Complete budget",#N/A,FALSE,"Cash Summary";"Complete budget",#N/A,FALSE,"Cash-Detail";"Complete budget",#N/A,FALSE,"Cash-Captions";"Complete budget",#N/A,FALSE,"Cash-GL Level";"Complete budget",#N/A,FALSE,"Production";"Complete budget",#N/A,FALSE,"5year support";"Complete budget",#N/A,FALSE,"Support";"Complete budget",#N/A,FALSE,"AvoidedCost";"Complete budget",#N/A,FALSE,"PowerPrices";"Complete budget",#N/A,FALSE,"GasPrices";"Complete budget",#N/A,FALSE,"Assumptions&amp;Notes";"Complete Budget",#N/A,FALSE,"Debt Covenants";"Complete Budget",#N/A,FALSE,"Accrual Analysis"}</definedName>
    <definedName name="Fossil_BGS">#REF!</definedName>
    <definedName name="Fossil_Secur_Date">#REF!</definedName>
    <definedName name="Foundation">#REF!</definedName>
    <definedName name="Foundation_Base_Shape">#REF!</definedName>
    <definedName name="FoundationCY">#REF!</definedName>
    <definedName name="FOUR">#N/A</definedName>
    <definedName name="FreeCashFlow">#REF!</definedName>
    <definedName name="FREIGHT">0.03</definedName>
    <definedName name="Frequencies">{"Annual";"Semiannual";"Quarterly";"Monthly"}</definedName>
    <definedName name="FrequencyNormalize">{"Annual","Annual",1;"Annually","Annual",1;1,"Annual",1;"Semiannual","Semiannual",2;"Semiannually","Semiannual",2;2,"Semiannual",2;"Quarterly","Quarterly",4;4,"Quarterly",4;"Monthly","Monthly",12;12,"Monthly",12}</definedName>
    <definedName name="FREV">#REF!</definedName>
    <definedName name="Front_page">#REF!</definedName>
    <definedName name="FTR">#N/A</definedName>
    <definedName name="FUEL">#N/A</definedName>
    <definedName name="fuel_passed">#N/A</definedName>
    <definedName name="fw"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g">#REF!</definedName>
    <definedName name="GA">#N/A</definedName>
    <definedName name="GALION">#REF!</definedName>
    <definedName name="GAS">#REF!</definedName>
    <definedName name="GAS_RATE">OFFSET(#REF!,3,IF(#REF!=1,#REF!,5*#REF!-4),20000,1)</definedName>
    <definedName name="GasLiftSalesPrice">#REF!</definedName>
    <definedName name="GasPriceHeading">#REF!</definedName>
    <definedName name="GasPrices">#REF!</definedName>
    <definedName name="gdfg" hidden="1">{#N/A,#N/A,FALSE,"Cover";#N/A,#N/A,FALSE,"General Assumptions";#N/A,#N/A,FALSE,"Comments CCS";#N/A,#N/A,FALSE,"Comments CIG";#N/A,#N/A,FALSE,"Comments IDEN";#N/A,#N/A,FALSE,"BS CSS";#N/A,#N/A,FALSE,"BS CIG";#N/A,#N/A,FALSE,"BS IDEN";#N/A,#N/A,FALSE,"BS TOTAL";#N/A,#N/A,FALSE,"P&amp;L CSS";#N/A,#N/A,FALSE,"P&amp;L CIG";#N/A,#N/A,FALSE,"P&amp;L IDEN";#N/A,#N/A,FALSE,"P&amp;L TOTAL";#N/A,#N/A,FALSE,"Cash Flow CSS";#N/A,#N/A,FALSE,"Cash Flow CIG";#N/A,#N/A,FALSE,"Cash Flow IDEN";#N/A,#N/A,FALSE,"Cash Flow Total";#N/A,#N/A,FALSE,"MBR CSS";#N/A,#N/A,FALSE,"MBR CIG";#N/A,#N/A,FALSE,"MBR IDEN";#N/A,#N/A,FALSE,"MBR JAG PLANT";#N/A,#N/A,FALSE,"Headcount - CSS";#N/A,#N/A,FALSE,"Headcount - CIG";#N/A,#N/A,FALSE,"Headcount - IDEN";#N/A,#N/A,FALSE,"Headcount JAG PLANT";#N/A,#N/A,FALSE,"CSS MFG";#N/A,#N/A,FALSE,"CSS Distr ";#N/A,#N/A,FALSE,"CIG MFG";#N/A,#N/A,FALSE,"IDEN MFG";#N/A,#N/A,FALSE,"CSS Inventory";#N/A,#N/A,FALSE,"CIG Inventory";#N/A,#N/A,FALSE,"IDEN Inventory";#N/A,#N/A,FALSE,"Capital CSS";#N/A,#N/A,FALSE,"Capital CIG";#N/A,#N/A,FALSE,"Capital iDEN";#N/A,#N/A,FALSE,"BACK UP CORPORATE"}</definedName>
    <definedName name="GDR">#REF!</definedName>
    <definedName name="GDX">#REF!</definedName>
    <definedName name="GDX_TD">#REF!</definedName>
    <definedName name="Gefor">#N/A</definedName>
    <definedName name="GENERAL_INSTRUCTIONS_AND_RECOMMENDED_WORK_STEPS">#REF!</definedName>
    <definedName name="GenLedger">#REF!</definedName>
    <definedName name="GENOA">#REF!</definedName>
    <definedName name="GENOA_NORTH">#REF!</definedName>
    <definedName name="GENOA_SOUTH">#REF!</definedName>
    <definedName name="GeoTech">#REF!</definedName>
    <definedName name="gg" hidden="1">{"Saldenliste",#N/A,FALSE,"H A Ü"}</definedName>
    <definedName name="ggg"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gggggggggg" hidden="1">{#N/A,#N/A,FALSE,"Aging Summary";#N/A,#N/A,FALSE,"Ratio Analysis";#N/A,#N/A,FALSE,"Test 120 Day Accts";#N/A,#N/A,FALSE,"Tickmarks"}</definedName>
    <definedName name="gh" hidden="1">{"view1",#N/A,FALSE,"ON AIR"}</definedName>
    <definedName name="GHP_B2Tax">#REF!</definedName>
    <definedName name="GHP_B2TAX_Forecast">#REF!</definedName>
    <definedName name="GHP_Combined_Rate">#REF!</definedName>
    <definedName name="GHP_ETR_Net_TEO">#REF!</definedName>
    <definedName name="GHP_FBOS">#REF!</definedName>
    <definedName name="GHP_Federal_FBOS">#REF!</definedName>
    <definedName name="GHP_Gross_Up">#REF!</definedName>
    <definedName name="GHP_PTBI">#REF!</definedName>
    <definedName name="GHP_SBOF">#REF!</definedName>
    <definedName name="GHP_State_Rate">#REF!</definedName>
    <definedName name="GHP_Trial_Balance">#REF!</definedName>
    <definedName name="ghr" hidden="1">{#N/A,#N/A,FALSE,"Ratios - Medallion Class A";#N/A,#N/A,FALSE,"Ratios - Medallion Class B";#N/A,#N/A,FALSE,"Share Proof - Medallion A";#N/A,#N/A,FALSE,"Share Proof - Medallion B";#N/A,#N/A,FALSE,"Per Share-Medallion A";#N/A,#N/A,FALSE,"Per Share-Medallion B"}</definedName>
    <definedName name="gIsBlank" hidden="1">ISBLANK(gIsRef)</definedName>
    <definedName name="gIsError" hidden="1">ISERROR(gIsRef)</definedName>
    <definedName name="gIsInPrintArea" hidden="1">NOT(ISERROR(gIsRef !Print_Area))</definedName>
    <definedName name="gIsInPrintTitles" hidden="1">NOT(ISERROR(gIsRef !Print_Titles))</definedName>
    <definedName name="gIsNumber" hidden="1">ISNUMBER(gIsRef)</definedName>
    <definedName name="gIsPreviousSheet" hidden="1">PrevShtCellValue(gIsRef)&lt;&gt;gIsRef</definedName>
    <definedName name="gIsRef" hidden="1">INDIRECT("rc",FALSE)</definedName>
    <definedName name="gIsText" hidden="1">ISTEXT(gIsRef)</definedName>
    <definedName name="gita" localSheetId="15" hidden="1">{#N/A,#N/A,FALSE,"O&amp;M by processes";#N/A,#N/A,FALSE,"Elec Act vs Bud";#N/A,#N/A,FALSE,"G&amp;A";#N/A,#N/A,FALSE,"BGS";#N/A,#N/A,FALSE,"Res Cost"}</definedName>
    <definedName name="gita" localSheetId="25" hidden="1">{#N/A,#N/A,FALSE,"O&amp;M by processes";#N/A,#N/A,FALSE,"Elec Act vs Bud";#N/A,#N/A,FALSE,"G&amp;A";#N/A,#N/A,FALSE,"BGS";#N/A,#N/A,FALSE,"Res Cost"}</definedName>
    <definedName name="gita" localSheetId="26" hidden="1">{#N/A,#N/A,FALSE,"O&amp;M by processes";#N/A,#N/A,FALSE,"Elec Act vs Bud";#N/A,#N/A,FALSE,"G&amp;A";#N/A,#N/A,FALSE,"BGS";#N/A,#N/A,FALSE,"Res Cost"}</definedName>
    <definedName name="gita" hidden="1">{#N/A,#N/A,FALSE,"O&amp;M by processes";#N/A,#N/A,FALSE,"Elec Act vs Bud";#N/A,#N/A,FALSE,"G&amp;A";#N/A,#N/A,FALSE,"BGS";#N/A,#N/A,FALSE,"Res Cost"}</definedName>
    <definedName name="gitah" localSheetId="15" hidden="1">{#N/A,#N/A,FALSE,"O&amp;M by processes";#N/A,#N/A,FALSE,"Elec Act vs Bud";#N/A,#N/A,FALSE,"G&amp;A";#N/A,#N/A,FALSE,"BGS";#N/A,#N/A,FALSE,"Res Cost"}</definedName>
    <definedName name="gitah" localSheetId="25" hidden="1">{#N/A,#N/A,FALSE,"O&amp;M by processes";#N/A,#N/A,FALSE,"Elec Act vs Bud";#N/A,#N/A,FALSE,"G&amp;A";#N/A,#N/A,FALSE,"BGS";#N/A,#N/A,FALSE,"Res Cost"}</definedName>
    <definedName name="gitah" localSheetId="26" hidden="1">{#N/A,#N/A,FALSE,"O&amp;M by processes";#N/A,#N/A,FALSE,"Elec Act vs Bud";#N/A,#N/A,FALSE,"G&amp;A";#N/A,#N/A,FALSE,"BGS";#N/A,#N/A,FALSE,"Res Cost"}</definedName>
    <definedName name="gitah" hidden="1">{#N/A,#N/A,FALSE,"O&amp;M by processes";#N/A,#N/A,FALSE,"Elec Act vs Bud";#N/A,#N/A,FALSE,"G&amp;A";#N/A,#N/A,FALSE,"BGS";#N/A,#N/A,FALSE,"Res Cost"}</definedName>
    <definedName name="GJC_03">#REF!</definedName>
    <definedName name="GJC_04">#REF!</definedName>
    <definedName name="GJC_09">#REF!</definedName>
    <definedName name="GLACCT">#REF!</definedName>
    <definedName name="GLH_B2Tax">#REF!</definedName>
    <definedName name="GLH_B2Tax_Forecast">#REF!</definedName>
    <definedName name="GLH_Combined_Rate">#REF!</definedName>
    <definedName name="GLH_ETR_Net_TEO">#REF!</definedName>
    <definedName name="GLH_FBOS">#REF!</definedName>
    <definedName name="GLH_Federal_FBOS">#REF!</definedName>
    <definedName name="GLH_Gross_Up">#REF!</definedName>
    <definedName name="GLH_PTBI">#REF!</definedName>
    <definedName name="GLH_SBOF">#REF!</definedName>
    <definedName name="GLH_State_Rate">#REF!</definedName>
    <definedName name="GLW_B2Tax_Forecast">#REF!</definedName>
    <definedName name="GLW_Combined_Rate">#REF!</definedName>
    <definedName name="GLW_FBOS">#REF!</definedName>
    <definedName name="GLW_Federal_FBOS">#REF!</definedName>
    <definedName name="GLW_Gross_Up">#REF!</definedName>
    <definedName name="GLW_SBOF">#REF!</definedName>
    <definedName name="GLW_State_Rate">#REF!</definedName>
    <definedName name="GOD" hidden="1">{#N/A,#N/A,TRUE,"Facility-Input";#N/A,#N/A,TRUE,"Graphs";#N/A,#N/A,TRUE,"TOTAL"}</definedName>
    <definedName name="golly" hidden="1">{#N/A,#N/A,TRUE,"Facility-Input";#N/A,#N/A,TRUE,"Graphs";#N/A,#N/A,TRUE,"TOTAL"}</definedName>
    <definedName name="GOODBYE" hidden="1">{#N/A,#N/A,TRUE,"Facility-Input";#N/A,#N/A,TRUE,"Graphs";#N/A,#N/A,TRUE,"TOTAL"}</definedName>
    <definedName name="goodwill">#REF!</definedName>
    <definedName name="GP">#REF!</definedName>
    <definedName name="GPLT">#REF!</definedName>
    <definedName name="GPOWER">#N/A</definedName>
    <definedName name="gr_power">#N/A</definedName>
    <definedName name="GRAFTON">#REF!</definedName>
    <definedName name="Gravel">#REF!</definedName>
    <definedName name="GRC_Cost">#REF!</definedName>
    <definedName name="Grd_Pt_Coll_Space">#REF!</definedName>
    <definedName name="green_table">#REF!</definedName>
    <definedName name="gross_output">#REF!</definedName>
    <definedName name="Grove_City">#REF!</definedName>
    <definedName name="Grp1Comp1">#REF!</definedName>
    <definedName name="Grp1Comp2">#REF!</definedName>
    <definedName name="Grp1Comp3">#REF!</definedName>
    <definedName name="Grp2Comp1">#REF!</definedName>
    <definedName name="Grp2Comp2">#REF!</definedName>
    <definedName name="Grp2Comp3">#REF!</definedName>
    <definedName name="Grp2Comp4">#REF!</definedName>
    <definedName name="Grp3Comp1">#REF!</definedName>
    <definedName name="Grp3Comp2">#REF!</definedName>
    <definedName name="Grp3Comp3">#REF!</definedName>
    <definedName name="gsdagas" hidden="1">{#N/A,#N/A,FALSE,"BS_CORPORATE"}</definedName>
    <definedName name="GSOF">#N/A</definedName>
    <definedName name="GST">#REF!</definedName>
    <definedName name="GTFUEL">#N/A</definedName>
    <definedName name="GTHR">#N/A</definedName>
    <definedName name="GTPOWER">#N/A</definedName>
    <definedName name="h2_alloc">#N/A</definedName>
    <definedName name="h2_merchant">#N/A</definedName>
    <definedName name="h2_prod">#N/A</definedName>
    <definedName name="h2_top">#N/A</definedName>
    <definedName name="haha" hidden="1">{"OMPA_FAC",#N/A,FALSE,"OMPA FAC"}</definedName>
    <definedName name="hallo" hidden="1">{"Kontenverteilung",#N/A,FALSE,"H A Ü"}</definedName>
    <definedName name="hangzhou"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HASKINS">#REF!</definedName>
    <definedName name="HB">#N/A</definedName>
    <definedName name="HB_2">#N/A</definedName>
    <definedName name="HCTextLen">#REF!</definedName>
    <definedName name="hd" hidden="1">{#N/A,#N/A,FALSE,"Aging Summary";#N/A,#N/A,FALSE,"Ratio Analysis";#N/A,#N/A,FALSE,"Test 120 Day Accts";#N/A,#N/A,FALSE,"Tickmarks"}</definedName>
    <definedName name="HDD">#REF!</definedName>
    <definedName name="he"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#REF!</definedName>
    <definedName name="Headcount_SPS"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_SPS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_SPS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_SPS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_SPS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_SPS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_SPS_98"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llo"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hello_"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hg" hidden="1">{#N/A,#N/A,FALSE,"MARKET"}</definedName>
    <definedName name="hhh" hidden="1">{"detail305",#N/A,FALSE,"BI-305"}</definedName>
    <definedName name="hi" hidden="1">{#N/A,#N/A,FALSE,"Aging Summary";#N/A,#N/A,FALSE,"Ratio Analysis";#N/A,#N/A,FALSE,"Test 120 Day Accts";#N/A,#N/A,FALSE,"Tickmarks"}</definedName>
    <definedName name="high" hidden="1">{#N/A,#N/A,TRUE,"TOTAL DSBN";#N/A,#N/A,TRUE,"WEST";#N/A,#N/A,TRUE,"SOUTH";#N/A,#N/A,TRUE,"NORTHEAST"}</definedName>
    <definedName name="High_EBITDA_Exit_Multiple">#N/A</definedName>
    <definedName name="HighSum" hidden="1">{#N/A,#N/A,TRUE,"TOTAL DISTRIBUTION";#N/A,#N/A,TRUE,"SOUTH";#N/A,#N/A,TRUE,"NORTHEAST";#N/A,#N/A,TRUE,"WEST"}</definedName>
    <definedName name="HONTSR">#REF!</definedName>
    <definedName name="HOST_DEMAND">#N/A</definedName>
    <definedName name="HOST_HOURS">#N/A</definedName>
    <definedName name="HOT_COLD_PKG">#REF!</definedName>
    <definedName name="hourending">#REF!</definedName>
    <definedName name="Hours">#REF!</definedName>
    <definedName name="HPNTSR">#REF!</definedName>
    <definedName name="HSC_Price">#REF!</definedName>
    <definedName name="HspLogonApplication">"'CorpFin'"</definedName>
    <definedName name="HspLogonDomain">"'NA1'"</definedName>
    <definedName name="HspLogonServer">"'il06nssftt100'"</definedName>
    <definedName name="HspLogonUserName">"'EFIN47'"</definedName>
    <definedName name="HTML_CodePage" hidden="1">1252</definedName>
    <definedName name="HTML_Control" hidden="1">{"'W.W. Summary'!$A$1:$K$37"}</definedName>
    <definedName name="HTML_Control_1" hidden="1">{"'360068'!$A$1:$P$225"}</definedName>
    <definedName name="HTML_Control_2" hidden="1">{"'360068'!$A$1:$P$225"}</definedName>
    <definedName name="HTML_Control_3" hidden="1">{"'360068'!$A$1:$P$225"}</definedName>
    <definedName name="HTML_Control_4" hidden="1">{"'360068'!$A$1:$P$225"}</definedName>
    <definedName name="HTML_Control_454" hidden="1">{"'360068'!$A$1:$P$225"}</definedName>
    <definedName name="HTML_Control_5" hidden="1">{"'360068'!$A$1:$P$225"}</definedName>
    <definedName name="HTML_Control2" hidden="1">{"'W.W. Summary'!$A$1:$K$37"}</definedName>
    <definedName name="HTML_Description" hidden="1">""</definedName>
    <definedName name="HTML_Email" hidden="1">""</definedName>
    <definedName name="HTML_Header" hidden="1">"Finance"</definedName>
    <definedName name="HTML_LastUpdate" hidden="1">"2/3/98"</definedName>
    <definedName name="HTML_LineAfter" hidden="1">FALSE</definedName>
    <definedName name="HTML_LineBefore" hidden="1">FALSE</definedName>
    <definedName name="HTML_Name" hidden="1">"G14163"</definedName>
    <definedName name="HTML_OBDlg2" hidden="1">TRUE</definedName>
    <definedName name="HTML_OBDlg4" hidden="1">TRUE</definedName>
    <definedName name="HTML_OS" hidden="1">0</definedName>
    <definedName name="HTML_PathFile" hidden="1">"L:\RAPTOR\INET0198\SECTCOST\summ.htm"</definedName>
    <definedName name="HTML_Title" hidden="1">"SECTOR1"</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BARD">#REF!</definedName>
    <definedName name="hukh" hidden="1">{#N/A,#N/A,FALSE,"P&amp;L";#N/A,#N/A,FALSE,"DL Worksheet";#N/A,#N/A,FALSE,"Ind. Cell";#N/A,#N/A,FALSE,"Capital";#N/A,#N/A,FALSE,"Tooling";#N/A,#N/A,FALSE,"LRP"}</definedName>
    <definedName name="Hv_Column">#REF!</definedName>
    <definedName name="HV_Column_GenTie">#REF!</definedName>
    <definedName name="HV_LV">#REF!</definedName>
    <definedName name="HWIndex">#REF!</definedName>
    <definedName name="Hypothèses_et_rendements">#REF!</definedName>
    <definedName name="i">#N/A</definedName>
    <definedName name="IBUTANE">#REF!</definedName>
    <definedName name="ICAPFwd">#REF!</definedName>
    <definedName name="IF_HSC">#REF!</definedName>
    <definedName name="IF_NGPL_TexOK">#REF!</definedName>
    <definedName name="IMAX1">#REF!</definedName>
    <definedName name="IMAX2">#REF!</definedName>
    <definedName name="IMAX3">#REF!</definedName>
    <definedName name="ImportFile">#N/A</definedName>
    <definedName name="INC">#N/A</definedName>
    <definedName name="Include">#REF!</definedName>
    <definedName name="INCOME">#N/A</definedName>
    <definedName name="Income_Statement">#REF!</definedName>
    <definedName name="Income_Tax_Fed">#REF!</definedName>
    <definedName name="Income_Tax_State">#REF!</definedName>
    <definedName name="Income_Taxes">#REF!</definedName>
    <definedName name="IncomeStatement">#REF!</definedName>
    <definedName name="incr_post">#N/A</definedName>
    <definedName name="incr_pre">#N/A</definedName>
    <definedName name="IND.MAX">#N/A</definedName>
    <definedName name="IND.MAX1">#N/A</definedName>
    <definedName name="inflation">#REF!</definedName>
    <definedName name="inflList" hidden="1">"10000000000000000000000000000000000000000000000000000000000000000000000000000000000000000000000000000000000000000000000000000000000000000000000000000000000000000000000000000000000000000000000000000000"</definedName>
    <definedName name="INPUT">#N/A</definedName>
    <definedName name="Input_AddressOne">#REF!</definedName>
    <definedName name="Input_AddressThree">#REF!</definedName>
    <definedName name="Input_AddressTwo">#REF!</definedName>
    <definedName name="INPUT_AREA">#REF!</definedName>
    <definedName name="INPUT_DATA">#REF!</definedName>
    <definedName name="Input_Fax1">#REF!</definedName>
    <definedName name="Input_Fax2">#REF!</definedName>
    <definedName name="Input_Phone1">#REF!</definedName>
    <definedName name="Input_Range">#REF!,#REF!,#REF!,#REF!,#REF!,#REF!,#REF!,#REF!,#REF!,#REF!,#REF!,#REF!,#REF!,#REF!,#REF!,#REF!,#REF!,#REF!,#REF!,#REF!,#REF!,#REF!</definedName>
    <definedName name="Input_VendorNumber">#REF!</definedName>
    <definedName name="InputBTUFactorSAT">#REF!</definedName>
    <definedName name="InputC2EthaneGPM">#REF!</definedName>
    <definedName name="InputC3PropaneGPM">#REF!</definedName>
    <definedName name="InputC6HexanesGPM">#REF!</definedName>
    <definedName name="InputIC4IsoButaneGPM">#REF!</definedName>
    <definedName name="InputIC5IsoPentaneGPM">#REF!</definedName>
    <definedName name="InputNC4NButaneGPM">#REF!</definedName>
    <definedName name="InputNC5NPentaneGPM">#REF!</definedName>
    <definedName name="Inputs_EndYrBal">#REF!</definedName>
    <definedName name="Inputs_EndYrBal_prior">#REF!</definedName>
    <definedName name="Inputs_FF1_Map">#REF!</definedName>
    <definedName name="InputTestDate">#REF!</definedName>
    <definedName name="InputTotalGPM">#REF!</definedName>
    <definedName name="Insulator">#REF!</definedName>
    <definedName name="Insulator_Assembly_Costs">#REF!</definedName>
    <definedName name="Insulator_Assembly_Labor">#REF!</definedName>
    <definedName name="Insulator_Column">#REF!</definedName>
    <definedName name="Insulator_Costs">#REF!</definedName>
    <definedName name="Insulator_Labor">#REF!</definedName>
    <definedName name="Insurance___000">#N/A</definedName>
    <definedName name="INT_INC">#N/A</definedName>
    <definedName name="intang_afudc910">#REF!</definedName>
    <definedName name="Interco0604" hidden="1">{#N/A,#N/A,FALSE,"Aging Summary";#N/A,#N/A,FALSE,"Ratio Analysis";#N/A,#N/A,FALSE,"Test 120 Day Accts";#N/A,#N/A,FALSE,"Tickmarks"}</definedName>
    <definedName name="Interconn_kV">#REF!</definedName>
    <definedName name="interest_formulas">#N/A</definedName>
    <definedName name="Interest_on_Cash_Balance">#N/A</definedName>
    <definedName name="Interest_Rate">#REF!</definedName>
    <definedName name="International_Assets_Book_Basis">#N/A</definedName>
    <definedName name="International_Assets_Gross_Proceeds">#N/A</definedName>
    <definedName name="INTQ">#REF!</definedName>
    <definedName name="IntroText">#REF!</definedName>
    <definedName name="INTY">#REF!</definedName>
    <definedName name="inv_irr">#REF!</definedName>
    <definedName name="inv_npv">#REF!</definedName>
    <definedName name="inv_yield">#REF!</definedName>
    <definedName name="investor_npv">#REF!</definedName>
    <definedName name="Invitation3">#REF!</definedName>
    <definedName name="Invitation4">#REF!</definedName>
    <definedName name="ipo" hidden="1">{#N/A,#N/A,FALSE,"Aging Summary";#N/A,#N/A,FALSE,"Ratio Analysis";#N/A,#N/A,FALSE,"Test 120 Day Accts";#N/A,#N/A,FALSE,"Tickmarks"}</definedName>
    <definedName name="IPP">#REF!</definedName>
    <definedName name="IPPINT">#REF!</definedName>
    <definedName name="IPPIRB">#REF!</definedName>
    <definedName name="IPPRB">#REF!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"c5315"</definedName>
    <definedName name="IQ_AVG_BROKER_REC_REUT">"c3630"</definedName>
    <definedName name="IQ_AVG_DAILY_VOL" hidden="1">"c65"</definedName>
    <definedName name="IQ_AVG_INDUSTRY_REC">"c4455"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_SEG_ASSETS">"c4067"</definedName>
    <definedName name="IQ_BUS_SEG_ASSETS_ABS">"c4089"</definedName>
    <definedName name="IQ_BUS_SEG_ASSETS_TOTAL">"c4112"</definedName>
    <definedName name="IQ_BUS_SEG_CAPEX">"c4079"</definedName>
    <definedName name="IQ_BUS_SEG_CAPEX_ABS">"c4101"</definedName>
    <definedName name="IQ_BUS_SEG_CAPEX_TOTAL">"c4116"</definedName>
    <definedName name="IQ_BUS_SEG_DA">"c4078"</definedName>
    <definedName name="IQ_BUS_SEG_DA_ABS">"c4100"</definedName>
    <definedName name="IQ_BUS_SEG_DA_TOTAL">"c4115"</definedName>
    <definedName name="IQ_BUS_SEG_EARNINGS_OP">"c4063"</definedName>
    <definedName name="IQ_BUS_SEG_EARNINGS_OP_ABS">"c4085"</definedName>
    <definedName name="IQ_BUS_SEG_EARNINGS_OP_TOTAL">"c4108"</definedName>
    <definedName name="IQ_BUS_SEG_EBT">"c4064"</definedName>
    <definedName name="IQ_BUS_SEG_EBT_ABS">"c4086"</definedName>
    <definedName name="IQ_BUS_SEG_EBT_TOTAL">"c4110"</definedName>
    <definedName name="IQ_BUS_SEG_GP">"c4066"</definedName>
    <definedName name="IQ_BUS_SEG_GP_ABS">"c4088"</definedName>
    <definedName name="IQ_BUS_SEG_GP_TOTAL">"c4109"</definedName>
    <definedName name="IQ_BUS_SEG_INC_TAX">"c4077"</definedName>
    <definedName name="IQ_BUS_SEG_INC_TAX_ABS">"c4099"</definedName>
    <definedName name="IQ_BUS_SEG_INC_TAX_TOTAL">"c4114"</definedName>
    <definedName name="IQ_BUS_SEG_INTEREST_EXP">"c4076"</definedName>
    <definedName name="IQ_BUS_SEG_INTEREST_EXP_ABS">"c4098"</definedName>
    <definedName name="IQ_BUS_SEG_INTEREST_EXP_TOTAL">"c4113"</definedName>
    <definedName name="IQ_BUS_SEG_NAME">"c5482"</definedName>
    <definedName name="IQ_BUS_SEG_NAME_ABS">"c5483"</definedName>
    <definedName name="IQ_BUS_SEG_NI">"c4065"</definedName>
    <definedName name="IQ_BUS_SEG_NI_ABS">"c4087"</definedName>
    <definedName name="IQ_BUS_SEG_NI_TOTAL">"c4111"</definedName>
    <definedName name="IQ_BUS_SEG_OPER_INC">"c4062"</definedName>
    <definedName name="IQ_BUS_SEG_OPER_INC_ABS">"c4084"</definedName>
    <definedName name="IQ_BUS_SEG_OPER_INC_TOTAL">"c4107"</definedName>
    <definedName name="IQ_BUS_SEG_REV">"c4068"</definedName>
    <definedName name="IQ_BUS_SEG_REV_ABS">"c4090"</definedName>
    <definedName name="IQ_BUS_SEG_REV_TOTAL">"c4106"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FLOW_ACT_OR_EST">"c4154"</definedName>
    <definedName name="IQ_CASH_INTEREST" hidden="1">"c120"</definedName>
    <definedName name="IQ_CASH_INVEST" hidden="1">"c121"</definedName>
    <definedName name="IQ_CASH_OPER" hidden="1">"c122"</definedName>
    <definedName name="IQ_CASH_OPER_ACT_OR_EST">"c4164"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"c4278"</definedName>
    <definedName name="IQ_DISTRIBUTABLE_CASH_PAYOUT" hidden="1">"c3005"</definedName>
    <definedName name="IQ_DISTRIBUTABLE_CASH_SHARE" hidden="1">"c3003"</definedName>
    <definedName name="IQ_DISTRIBUTABLE_CASH_SHARE_ACT_OR_EST">"c4286"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W_ACT_OR_EST">"c4306"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"c4316"</definedName>
    <definedName name="IQ_EBIT_SBC_GW_ACT_OR_EST">"c4320"</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"c3640"</definedName>
    <definedName name="IQ_EBITDA_EXCL_SBC" hidden="1">"c3081"</definedName>
    <definedName name="IQ_EBITDA_HIGH_EST" hidden="1">"c370"</definedName>
    <definedName name="IQ_EBITDA_HIGH_EST_REUT">"c3642"</definedName>
    <definedName name="IQ_EBITDA_INT" hidden="1">"c373"</definedName>
    <definedName name="IQ_EBITDA_LOW_EST" hidden="1">"c371"</definedName>
    <definedName name="IQ_EBITDA_LOW_EST_REUT">"c3643"</definedName>
    <definedName name="IQ_EBITDA_MARGIN" hidden="1">"c372"</definedName>
    <definedName name="IQ_EBITDA_MEDIAN_EST" hidden="1">"c1663"</definedName>
    <definedName name="IQ_EBITDA_MEDIAN_EST_REUT">"c3641"</definedName>
    <definedName name="IQ_EBITDA_NUM_EST" hidden="1">"c374"</definedName>
    <definedName name="IQ_EBITDA_NUM_EST_REUT">"c3644"</definedName>
    <definedName name="IQ_EBITDA_OVER_TOTAL_IE" hidden="1">"c1371"</definedName>
    <definedName name="IQ_EBITDA_SBC_ACT_OR_EST">"c4337"</definedName>
    <definedName name="IQ_EBITDA_STDDEV_EST" hidden="1">"c375"</definedName>
    <definedName name="IQ_EBITDA_STDDEV_EST_REUT">"c3645"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"c4350"</definedName>
    <definedName name="IQ_EBT_SBC_GW_ACT_OR_EST">"c4354"</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REUT">"c5453"</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"c5454"</definedName>
    <definedName name="IQ_EPS_LOW_EST" hidden="1">"c401"</definedName>
    <definedName name="IQ_EPS_LOW_EST_REUT">"c5455"</definedName>
    <definedName name="IQ_EPS_MEDIAN_EST" hidden="1">"c1661"</definedName>
    <definedName name="IQ_EPS_MEDIAN_EST_REUT">"c5456"</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"c4376"</definedName>
    <definedName name="IQ_EPS_SBC_GW_ACT_OR_EST">"c4380"</definedName>
    <definedName name="IQ_EPS_STDDEV_EST" hidden="1">"c403"</definedName>
    <definedName name="IQ_EPS_STDDEV_EST_REUT">"c5452"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"c5437"</definedName>
    <definedName name="IQ_EST_DATE" hidden="1">"c1634"</definedName>
    <definedName name="IQ_EST_DATE_REUT">"c5438"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"c3633"</definedName>
    <definedName name="IQ_EST_EPS_GROWTH_5YR_STDDEV" hidden="1">"c1660"</definedName>
    <definedName name="IQ_EST_EPS_GROWTH_Q_1YR" hidden="1">"c1641"</definedName>
    <definedName name="IQ_EST_EPS_GROWTH_Q_1YR_REUT">"c5410"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"c5515"</definedName>
    <definedName name="IQ_EXCISE_TAXES_INCL_SALES">"c5514"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"c4435"</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SHARE_ACT_OR_EST">"c4446"</definedName>
    <definedName name="IQ_FFO_STDDEV_EST" hidden="1">"c422"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OREIGN_BRANCHES_U.S._BANKS_LOANS_FDIC" hidden="1">"c6438"</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"c4069"</definedName>
    <definedName name="IQ_GEO_SEG_ASSETS_ABS">"c4091"</definedName>
    <definedName name="IQ_GEO_SEG_ASSETS_TOTAL">"c4123"</definedName>
    <definedName name="IQ_GEO_SEG_CAPEX">"c4083"</definedName>
    <definedName name="IQ_GEO_SEG_CAPEX_ABS">"c4105"</definedName>
    <definedName name="IQ_GEO_SEG_CAPEX_TOTAL">"c4127"</definedName>
    <definedName name="IQ_GEO_SEG_DA">"c4082"</definedName>
    <definedName name="IQ_GEO_SEG_DA_ABS">"c4104"</definedName>
    <definedName name="IQ_GEO_SEG_DA_TOTAL">"c4126"</definedName>
    <definedName name="IQ_GEO_SEG_EARNINGS_OP">"c4073"</definedName>
    <definedName name="IQ_GEO_SEG_EARNINGS_OP_ABS">"c4095"</definedName>
    <definedName name="IQ_GEO_SEG_EARNINGS_OP_TOTAL">"c4119"</definedName>
    <definedName name="IQ_GEO_SEG_EBT">"c4072"</definedName>
    <definedName name="IQ_GEO_SEG_EBT_ABS">"c4094"</definedName>
    <definedName name="IQ_GEO_SEG_EBT_TOTAL">"c4121"</definedName>
    <definedName name="IQ_GEO_SEG_GP">"c4070"</definedName>
    <definedName name="IQ_GEO_SEG_GP_ABS">"c4092"</definedName>
    <definedName name="IQ_GEO_SEG_GP_TOTAL">"c4120"</definedName>
    <definedName name="IQ_GEO_SEG_INC_TAX">"c4081"</definedName>
    <definedName name="IQ_GEO_SEG_INC_TAX_ABS">"c4103"</definedName>
    <definedName name="IQ_GEO_SEG_INC_TAX_TOTAL">"c4125"</definedName>
    <definedName name="IQ_GEO_SEG_INTEREST_EXP">"c4080"</definedName>
    <definedName name="IQ_GEO_SEG_INTEREST_EXP_ABS">"c4102"</definedName>
    <definedName name="IQ_GEO_SEG_INTEREST_EXP_TOTAL">"c4124"</definedName>
    <definedName name="IQ_GEO_SEG_NAME">"c5484"</definedName>
    <definedName name="IQ_GEO_SEG_NAME_ABS">"c5485"</definedName>
    <definedName name="IQ_GEO_SEG_NI">"c4071"</definedName>
    <definedName name="IQ_GEO_SEG_NI_ABS">"c4093"</definedName>
    <definedName name="IQ_GEO_SEG_NI_TOTAL">"c4122"</definedName>
    <definedName name="IQ_GEO_SEG_OPER_INC">"c4075"</definedName>
    <definedName name="IQ_GEO_SEG_OPER_INC_ABS">"c4097"</definedName>
    <definedName name="IQ_GEO_SEG_OPER_INC_TOTAL">"c4118"</definedName>
    <definedName name="IQ_GEO_SEG_REV">"c4074"</definedName>
    <definedName name="IQ_GEO_SEG_REV_ABS">"c4096"</definedName>
    <definedName name="IQ_GEO_SEG_REV_TOTAL">"c4117"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"c5317"</definedName>
    <definedName name="IQ_HIGHPRICE" hidden="1">"c545"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"c5511"</definedName>
    <definedName name="IQ_IPRD" hidden="1">"c644"</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REUT">"c5316"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"c4048"</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42691.5412615741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"c4474"</definedName>
    <definedName name="IQ_NI_SBC_GW_ACT_OR_EST">"c4478"</definedName>
    <definedName name="IQ_NI_SFAS" hidden="1">"c795"</definedName>
    <definedName name="IQ_NI_STDDEV_EST" hidden="1">"c1721"</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"c5563"</definedName>
    <definedName name="IQ_OTHER_AMORT_BR" hidden="1">"c5566"</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"c4049"</definedName>
    <definedName name="IQ_PE_NORMALIZED" hidden="1">"c2207"</definedName>
    <definedName name="IQ_PE_RATIO" hidden="1">"c1610"</definedName>
    <definedName name="IQ_PEG_FWD" hidden="1">"c1863"</definedName>
    <definedName name="IQ_PEG_FWD_REUT">"c4052"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2MONTHS_CIQ" hidden="1">"c3769"</definedName>
    <definedName name="IQ_PERCENT_CHANGE_EST_FFO_18MONTHS" hidden="1">"c1829"</definedName>
    <definedName name="IQ_PERCENT_CHANGE_EST_FFO_18MONTHS_CIQ" hidden="1">"c3770"</definedName>
    <definedName name="IQ_PERCENT_CHANGE_EST_FFO_3MONTHS" hidden="1">"c1825"</definedName>
    <definedName name="IQ_PERCENT_CHANGE_EST_FFO_3MONTHS_CIQ" hidden="1">"c3766"</definedName>
    <definedName name="IQ_PERCENT_CHANGE_EST_FFO_6MONTHS" hidden="1">"c1826"</definedName>
    <definedName name="IQ_PERCENT_CHANGE_EST_FFO_6MONTHS_CIQ" hidden="1">"c3767"</definedName>
    <definedName name="IQ_PERCENT_CHANGE_EST_FFO_9MONTHS" hidden="1">"c1827"</definedName>
    <definedName name="IQ_PERCENT_CHANGE_EST_FFO_9MONTHS_CIQ" hidden="1">"c3768"</definedName>
    <definedName name="IQ_PERCENT_CHANGE_EST_FFO_DAY" hidden="1">"c1822"</definedName>
    <definedName name="IQ_PERCENT_CHANGE_EST_FFO_DAY_CIQ" hidden="1">"c3764"</definedName>
    <definedName name="IQ_PERCENT_CHANGE_EST_FFO_MONTH" hidden="1">"c1824"</definedName>
    <definedName name="IQ_PERCENT_CHANGE_EST_FFO_MONTH_CIQ" hidden="1">"c3765"</definedName>
    <definedName name="IQ_PERCENT_CHANGE_EST_FFO_WEEK" hidden="1">"c1823"</definedName>
    <definedName name="IQ_PERCENT_CHANGE_EST_FFO_WEEK_CIQ" hidden="1">"c3795"</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_TARGET_REUT">"c3631"</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"c4507"</definedName>
    <definedName name="IQ_RECURRING_PROFIT_SHARE_ACT_OR_EST">"c4508"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"c3639"</definedName>
    <definedName name="IQ_REV_UTI" hidden="1">"c1125"</definedName>
    <definedName name="IQ_REVENUE" hidden="1">"c1422"</definedName>
    <definedName name="IQ_REVENUE_ACT_OR_EST" hidden="1">"c2214"</definedName>
    <definedName name="IQ_REVENUE_EST" hidden="1">"c1126"</definedName>
    <definedName name="IQ_REVENUE_EST_REUT">"c3634"</definedName>
    <definedName name="IQ_REVENUE_HIGH_EST" hidden="1">"c1127"</definedName>
    <definedName name="IQ_REVENUE_HIGH_EST_REUT">"c3636"</definedName>
    <definedName name="IQ_REVENUE_LOW_EST" hidden="1">"c1128"</definedName>
    <definedName name="IQ_REVENUE_LOW_EST_REUT">"c3637"</definedName>
    <definedName name="IQ_REVENUE_MEDIAN_EST" hidden="1">"c1662"</definedName>
    <definedName name="IQ_REVENUE_MEDIAN_EST_REUT">"c3635"</definedName>
    <definedName name="IQ_REVENUE_NUM_EST" hidden="1">"c1129"</definedName>
    <definedName name="IQ_REVENUE_NUM_EST_REUT">"c3638"</definedName>
    <definedName name="IQ_REVISION_DATE_" hidden="1">38961.402025463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"c5319"</definedName>
    <definedName name="IQ_TARGET_PRICE_STDDEV" hidden="1">"c1654"</definedName>
    <definedName name="IQ_TARGET_PRICE_STDDEV_REUT">"c5320"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"c5516"</definedName>
    <definedName name="IQ_TOTAL_UNUSUAL_BR">"c5517"</definedName>
    <definedName name="IQ_TOTAL_UNUSUAL_FIN">"c5518"</definedName>
    <definedName name="IQ_TOTAL_UNUSUAL_INS">"c5519"</definedName>
    <definedName name="IQ_TOTAL_UNUSUAL_REIT">"c5520"</definedName>
    <definedName name="IQ_TOTAL_UNUSUAL_UTI">"c5521"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0</definedName>
    <definedName name="IQRD40" hidden="1">"$D$41:$D$2543"</definedName>
    <definedName name="IQRD41" hidden="1">"$D$42:$D$2544"</definedName>
    <definedName name="IQRE41" hidden="1">"$E$42:$E$2544"</definedName>
    <definedName name="IRATE">#N/A</definedName>
    <definedName name="IRR">#REF!</definedName>
    <definedName name="IRR_Analysis">#N/A</definedName>
    <definedName name="IRSCenter" hidden="1">#REF!</definedName>
    <definedName name="Isbell_WASP">#REF!</definedName>
    <definedName name="ISC_Employees">#REF!</definedName>
    <definedName name="itc">#REF!</definedName>
    <definedName name="ITCWO">#REF!</definedName>
    <definedName name="ItemType">#REF!</definedName>
    <definedName name="ITMTABLE">#REF!</definedName>
    <definedName name="iuyrytdgfx" hidden="1">{"Earnings",#N/A,FALSE,"Earnings";"BalanceSheet",#N/A,FALSE,"BalanceSheet";"Change in Cash",#N/A,FALSE,"CashFlow";"normalengs",#N/A,FALSE,"NormalEngs";"US EP Profit and PerBbl",#N/A,FALSE,"US E&amp;P";"Canada EP Profit and PerBbl",#N/A,FALSE,"Canada E&amp;P";"Eur EP Price and Vol Detail",#N/A,FALSE,"Eur E&amp;P";"Other EP Price and Vol Detail",#N/A,FALSE,"Other Foreign E&amp;P";"RM Earnings",#N/A,FALSE,"R&amp;M ";"US Chemical Earnings",#N/A,FALSE,"Chemical";"CAPEX and Exploration",#N/A,FALSE,"CAPEX Sum";#N/A,#N/A,FALSE,"Assumptions"}</definedName>
    <definedName name="iytrutre" hidden="1">{"US EP Earn and Prof Analysis",#N/A,FALSE,"US E&amp;P ";"Can EP Earn and Prof Analysis",#N/A,FALSE,"Can E&amp;P";"Eur EP Earn and Prof Analysis",#N/A,FALSE,"Eur E&amp;P";"ASPAC EP Earn and Prof Analysis",#N/A,FALSE,"Asia-Pac E&amp;P";"NonCon EP Earn Prof Analysis",#N/A,FALSE,"Non-Con E&amp;P";"OG Production Sum",#N/A,FALSE,"E&amp;P Summary"}</definedName>
    <definedName name="iyuttyr" hidden="1">{"Earnings",#N/A,TRUE,"Earnings";"qtr for IR",#N/A,TRUE,"Quarters";"balancesheet",#N/A,TRUE,"BalanceSheet";"change in cash",#N/A,TRUE,"CashFlow";"oil and gas earnings",#N/A,TRUE,"Oil and Gas Results";"price and vol detail",#N/A,TRUE,"Oil and Gas Results";"capexsum",#N/A,TRUE,"CAPEX Sum"}</definedName>
    <definedName name="j" hidden="1">{"detail305",#N/A,FALSE,"BI-305"}</definedName>
    <definedName name="ja"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jjks" hidden="1">{#N/A,#N/A,FALSE,"Total";#N/A,#N/A,FALSE,"ASNS";#N/A,#N/A,FALSE,"PNCNS";#N/A,#N/A,FALSE,"DSNS";#N/A,#N/A,FALSE,"TNS"}</definedName>
    <definedName name="JanCP">#REF!</definedName>
    <definedName name="janeiro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neiro1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neiro1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neiro1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neiro1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neiro1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son" hidden="1">{"Age 50; 100% - NPPC",#N/A,FALSE,"Age 50; 100%";"Age 50; 100% - PSC",#N/A,FALSE,"Age 50; 100%";"Age 50; 100% - Gain/Loss",#N/A,FALSE,"Age 50; 100%"}</definedName>
    <definedName name="JESUS" hidden="1">{#N/A,#N/A,TRUE,"Facility-Input";#N/A,#N/A,TRUE,"Graphs";#N/A,#N/A,TRUE,"TOTAL"}</definedName>
    <definedName name="jh" hidden="1">{#N/A,#N/A,FALSE,"Aging Summary";#N/A,#N/A,FALSE,"Ratio Analysis";#N/A,#N/A,FALSE,"Test 120 Day Accts";#N/A,#N/A,FALSE,"Tickmarks"}</definedName>
    <definedName name="ji" hidden="1">{"'Highlights'!$A$1:$M$123"}</definedName>
    <definedName name="jjj" hidden="1">{#N/A,#N/A,FALSE,"INPUTDATA";#N/A,#N/A,FALSE,"SUMMARY";#N/A,#N/A,FALSE,"CTAREP";#N/A,#N/A,FALSE,"CTBREP";#N/A,#N/A,FALSE,"PMG4ST86";#N/A,#N/A,FALSE,"TURBEFF";#N/A,#N/A,FALSE,"Condenser Performance"}</definedName>
    <definedName name="jor">#REF!</definedName>
    <definedName name="JOUR_ENTRY">#REF!</definedName>
    <definedName name="JUL">#N/A</definedName>
    <definedName name="JUN">#N/A</definedName>
    <definedName name="K2_WBEVMODE" hidden="1">-1</definedName>
    <definedName name="Kasse" hidden="1">{"Kontenverteilung",#N/A,FALSE,"H A Ü"}</definedName>
    <definedName name="Kd">#REF!</definedName>
    <definedName name="KeyCon_Close_Date">#REF!</definedName>
    <definedName name="kjl" hidden="1">{#N/A,#N/A,FALSE,"TOTFINAL";#N/A,#N/A,FALSE,"FINPLAN";#N/A,#N/A,FALSE,"TOTMOTADJ";#N/A,#N/A,FALSE,"tieEQ";#N/A,#N/A,FALSE,"G";#N/A,#N/A,FALSE,"ELIMS";#N/A,#N/A,FALSE,"NEXTEL ADJ";#N/A,#N/A,FALSE,"MIMS";#N/A,#N/A,FALSE,"LMPS";#N/A,#N/A,FALSE,"CNSS";#N/A,#N/A,FALSE,"CSS";#N/A,#N/A,FALSE,"MCG";#N/A,#N/A,FALSE,"AECS";#N/A,#N/A,FALSE,"SPS";#N/A,#N/A,FALSE,"CORP"}</definedName>
    <definedName name="kk">#REF!</definedName>
    <definedName name="kkk" hidden="1">{#N/A,#N/A,FALSE,"INPUTDATA";#N/A,#N/A,FALSE,"SUMMARY";#N/A,#N/A,FALSE,"CTAREP";#N/A,#N/A,FALSE,"CTBREP";#N/A,#N/A,FALSE,"TURBEFF";#N/A,#N/A,FALSE,"Condenser Performance"}</definedName>
    <definedName name="ko" hidden="1">{#N/A,#N/A,FALSE,"Aging Summary";#N/A,#N/A,FALSE,"Ratio Analysis";#N/A,#N/A,FALSE,"Test 120 Day Accts";#N/A,#N/A,FALSE,"Tickmarks"}</definedName>
    <definedName name="KPMGContact" hidden="1">#REF!</definedName>
    <definedName name="KVA">#REF!</definedName>
    <definedName name="Kva_Column">#REF!</definedName>
    <definedName name="kW">#N/A</definedName>
    <definedName name="l">{#N/A,#N/A,FALSE,"Cover";#N/A,#N/A,FALSE,"Comments CIG";#N/A,#N/A,FALSE,"BS CIG";#N/A,#N/A,FALSE,"P&amp;L CIG";#N/A,#N/A,FALSE,"Cash Flow CIG";#N/A,#N/A,FALSE,"MBR CIG";#N/A,#N/A,FALSE,"Headcount - CIG";#N/A,#N/A,FALSE,"FAB UN CIG";#N/A,#N/A,FALSE,"CIG MFG";#N/A,#N/A,FALSE,"CIG Inventory";#N/A,#N/A,FALSE,"FM CIG";#N/A,#N/A,FALSE,"NSAD ASP CIG";#N/A,#N/A,FALSE,"Capital Expenditures"}</definedName>
    <definedName name="Labor">#REF!</definedName>
    <definedName name="Labor____of_People">#N/A</definedName>
    <definedName name="Labor_Impact_Factor">#REF!</definedName>
    <definedName name="LaborAnglePole">#REF!</definedName>
    <definedName name="LaborInfl">#N/A</definedName>
    <definedName name="LaborPole">#REF!</definedName>
    <definedName name="Landuse">#REF!</definedName>
    <definedName name="LastFwdYear">#N/A</definedName>
    <definedName name="layout7">#REF!</definedName>
    <definedName name="LC_Target">#REF!</definedName>
    <definedName name="left">OFFSET(!A1,0,-1)</definedName>
    <definedName name="LEVEL">#N/A</definedName>
    <definedName name="LeveragedCashFlow">#REF!</definedName>
    <definedName name="lew" hidden="1">{#N/A,#N/A,FALSE,"INPUTDATA";#N/A,#N/A,FALSE,"SUMMARY"}</definedName>
    <definedName name="LFTSR">#REF!</definedName>
    <definedName name="LHMonth">#REF!</definedName>
    <definedName name="LHYear">#REF!</definedName>
    <definedName name="Library" hidden="1">"a1"</definedName>
    <definedName name="limcount" hidden="1">1</definedName>
    <definedName name="Limestone_Cost____ton">#N/A</definedName>
    <definedName name="Limestone_Usage__tons_MWH">#N/A</definedName>
    <definedName name="Line22">#REF!</definedName>
    <definedName name="Line26">#REF!</definedName>
    <definedName name="Line30">#REF!</definedName>
    <definedName name="Line32">#REF!</definedName>
    <definedName name="LineSize">#REF!</definedName>
    <definedName name="LiqPriceHeading">#REF!</definedName>
    <definedName name="LiqPrices">#REF!</definedName>
    <definedName name="Liquids" hidden="1">{#N/A,#N/A,FALSE,"Earnings release"}</definedName>
    <definedName name="listINDEX">#REF!:INDEX(#REF!,SUMPRODUCT(--(#REF!&lt;&gt;"")))</definedName>
    <definedName name="ListOffset" hidden="1">1</definedName>
    <definedName name="lk" hidden="1">{#N/A,#N/A,FALSE,"Summary";#N/A,#N/A,FALSE,"Adj to Option C";#N/A,#N/A,FALSE,"Dividend Analysis";#N/A,#N/A,FALSE,"Reserve Analysis";#N/A,#N/A,FALSE,"Depreciation";#N/A,#N/A,FALSE,"Other Tax Adj"}</definedName>
    <definedName name="lll" hidden="1">{#N/A,#N/A,FALSE,"INPUTDATA";#N/A,#N/A,FALSE,"SUMMARY";#N/A,#N/A,FALSE,"CTAREP";#N/A,#N/A,FALSE,"CTBREP";#N/A,#N/A,FALSE,"TURBEFF";#N/A,#N/A,FALSE,"Condenser Performance"}</definedName>
    <definedName name="Load_Factor">#REF!</definedName>
    <definedName name="Load_Growth">#REF!</definedName>
    <definedName name="Loan_Amount">#REF!</definedName>
    <definedName name="Loan_Start">#REF!</definedName>
    <definedName name="Loan_Years">#REF!</definedName>
    <definedName name="LOC">#N/A</definedName>
    <definedName name="LOCATE3">#N/A</definedName>
    <definedName name="LOCTABLE">#REF!</definedName>
    <definedName name="LOCTextLen">#REF!</definedName>
    <definedName name="LocusPoint">#REF!</definedName>
    <definedName name="LODI">#REF!</definedName>
    <definedName name="LookAddressOne">#REF!</definedName>
    <definedName name="LookAddressThree">#REF!</definedName>
    <definedName name="LookAddressTwo">#REF!</definedName>
    <definedName name="LookAdjustMentOneAmount">#REF!</definedName>
    <definedName name="LookAdjustMentOneText">#REF!</definedName>
    <definedName name="LookAdjustMentThreeAmount">#REF!</definedName>
    <definedName name="LookAdjustMentThreeText">#REF!</definedName>
    <definedName name="LookAdjustMentTwoAmount">#REF!</definedName>
    <definedName name="LookAdjustMentTwoText">#REF!</definedName>
    <definedName name="LookAidInConstAmount">#REF!</definedName>
    <definedName name="LookAidInConstRate">#REF!</definedName>
    <definedName name="LookAllocatedCompFuelMcfBasedOnWellHeadMcf">#REF!</definedName>
    <definedName name="LookAllocatedCompFuelMmbtuBasedOnWellHeadMMBtu">#REF!</definedName>
    <definedName name="LookAllocatedDryCompFuelMcf">#REF!</definedName>
    <definedName name="LookAllocatedDryCompFuelMMBtu">#REF!</definedName>
    <definedName name="LookAllocatedFuelFlareMcfBasedOnWellHeadMcf">#REF!</definedName>
    <definedName name="LookAllocatedFuelFlareMcfTotal">#REF!</definedName>
    <definedName name="LookAllocatedFuelFlareMmbtuBasedOnWellHeadMMBtu">#REF!</definedName>
    <definedName name="LookAllocatedFuelFlareMmbtuTotal">#REF!</definedName>
    <definedName name="LookAllocatedGallonsEthane">#REF!</definedName>
    <definedName name="LookAllocatedGallonsHexanes">#REF!</definedName>
    <definedName name="LookAllocatedGallonsIsoButane">#REF!</definedName>
    <definedName name="LookAllocatedGallonsIsoPentane">#REF!</definedName>
    <definedName name="LookAllocatedGallonsMethane">#REF!</definedName>
    <definedName name="LookAllocatedGallonsNormalButane">#REF!</definedName>
    <definedName name="LookAllocatedGallonsNormalPentane">#REF!</definedName>
    <definedName name="LookAllocatedGallonsPentanesPlus">#REF!</definedName>
    <definedName name="LookAllocatedGallonsPropane">#REF!</definedName>
    <definedName name="LookAllocatedGallonsTotalTimesProducersPercent">#REF!</definedName>
    <definedName name="LookAllocatedMcf">#REF!</definedName>
    <definedName name="LookAllocatedMcfShrinkEthane">#REF!</definedName>
    <definedName name="LookAllocatedMcfShrinkHexanes">#REF!</definedName>
    <definedName name="LookAllocatedMcfShrinkIsoButane">#REF!</definedName>
    <definedName name="LookAllocatedMcfShrinkIsoPentane">#REF!</definedName>
    <definedName name="LookAllocatedMcfShrinkMethane">#REF!</definedName>
    <definedName name="LookAllocatedMcfShrinkNormalButane">#REF!</definedName>
    <definedName name="LookAllocatedMcfShrinkNormalPentane">#REF!</definedName>
    <definedName name="LookAllocatedMcfShrinkPentanesPlus">#REF!</definedName>
    <definedName name="LookAllocatedMcfShrinkPropane">#REF!</definedName>
    <definedName name="LookAllocatedMmbtu">#REF!</definedName>
    <definedName name="LookAllocatedMmbtuShrinkEthane">#REF!</definedName>
    <definedName name="LookAllocatedMmbtuShrinkHexanes">#REF!</definedName>
    <definedName name="LookAllocatedMmbtuShrinkIsoButane">#REF!</definedName>
    <definedName name="LookAllocatedMmbtuShrinkIsoPentane">#REF!</definedName>
    <definedName name="LookAllocatedMmbtuShrinkMethane">#REF!</definedName>
    <definedName name="LookAllocatedMmbtuShrinkNormalButane">#REF!</definedName>
    <definedName name="LookAllocatedMmbtuShrinkNormalPentane">#REF!</definedName>
    <definedName name="LookAllocatedMmbtuShrinkPentanesPlus">#REF!</definedName>
    <definedName name="LookAllocatedMmbtuShrinkPropane">#REF!</definedName>
    <definedName name="LookAllocatedMmbtuShrinkTotal">#REF!</definedName>
    <definedName name="LookAllocGalsEthane">#REF!</definedName>
    <definedName name="LookAllocGalsHexanes">#REF!</definedName>
    <definedName name="LookAllocGalsIsoButane">#REF!</definedName>
    <definedName name="LookAllocGalsIsoPentane">#REF!</definedName>
    <definedName name="LookAllocGalsMethane">#REF!</definedName>
    <definedName name="LookAllocGalsNormalButane">#REF!</definedName>
    <definedName name="LookAllocGalsNormalPentane">#REF!</definedName>
    <definedName name="LookAllocGalsPropane">#REF!</definedName>
    <definedName name="LookAllocLDGalsEthane">#REF!</definedName>
    <definedName name="LookAllocLDGalsHexanes">#REF!</definedName>
    <definedName name="LookAllocLDGalsIsoButane">#REF!</definedName>
    <definedName name="LookAllocLDGalsIsoPentane">#REF!</definedName>
    <definedName name="LookAllocLDGalsMethane">#REF!</definedName>
    <definedName name="LookAllocLDGalsNormalButane">#REF!</definedName>
    <definedName name="LookAllocLDGalsNormalPentane">#REF!</definedName>
    <definedName name="LookAllocLDGalsPropane">#REF!</definedName>
    <definedName name="LookByPassMcf">#REF!</definedName>
    <definedName name="LookByPassMMBtu">#REF!</definedName>
    <definedName name="LookCascadeBPMcf">#REF!</definedName>
    <definedName name="LookCascadeBPMMBtu">#REF!</definedName>
    <definedName name="LookCascadeFeeRate">#REF!</definedName>
    <definedName name="LookCascadeFeeValue">#REF!</definedName>
    <definedName name="LookCO2MolePercent">#REF!</definedName>
    <definedName name="LookCO2TreatingAmount">#REF!</definedName>
    <definedName name="LookCompressionAmount">#REF!</definedName>
    <definedName name="LookCompressionRate">#REF!</definedName>
    <definedName name="LookConditioningFee">#REF!</definedName>
    <definedName name="LookConditioningFeeRatePerMmbtu">#REF!</definedName>
    <definedName name="LookDehyAmount">#REF!</definedName>
    <definedName name="LookDehyRate">#REF!</definedName>
    <definedName name="LookElecCostAmount_Comp">#REF!</definedName>
    <definedName name="LookElecCostAmount_Plant">#REF!</definedName>
    <definedName name="LookExcessGasLiftSalesValue">#REF!</definedName>
    <definedName name="LookExcessGasLiftVolume">#REF!</definedName>
    <definedName name="LookFax1">#REF!</definedName>
    <definedName name="LookFinalResidueMCF">#REF!</definedName>
    <definedName name="LookFinalResidueMmbtu">#REF!</definedName>
    <definedName name="LookFuelCapLimitAdjustment">#REF!</definedName>
    <definedName name="LookFuelCapLimitPercent">#REF!</definedName>
    <definedName name="LookGasLiftGathAmount">#REF!</definedName>
    <definedName name="LookGasLiftGathRate">#REF!</definedName>
    <definedName name="LookGasLiftMeterFeeAmount">#REF!</definedName>
    <definedName name="LookGatheringAmount">#REF!</definedName>
    <definedName name="LookGatheringRate">#REF!</definedName>
    <definedName name="LookIncludeInTheoreticalCalculations">#REF!</definedName>
    <definedName name="LookLiquidsValueEthane">#REF!</definedName>
    <definedName name="LookLiquidsValueHexanes">#REF!</definedName>
    <definedName name="LookLiquidsValueISOButane">#REF!</definedName>
    <definedName name="LookLiquidsValueIsoPentane">#REF!</definedName>
    <definedName name="LookLiquidsValueMethane">#REF!</definedName>
    <definedName name="LookLiquidsValueNormalButane">#REF!</definedName>
    <definedName name="LookLiquidsValueNormalPentane">#REF!</definedName>
    <definedName name="LookLiquidsValuePentanesPlus">#REF!</definedName>
    <definedName name="LookLiquidsValuePropane">#REF!</definedName>
    <definedName name="LookLossLinePackMMBtu">#REF!</definedName>
    <definedName name="LookLowVolumeFee">#REF!</definedName>
    <definedName name="LookMay12OneOkStorageValue">#REF!</definedName>
    <definedName name="LookNetResidueAmount">#REF!</definedName>
    <definedName name="LookNGLDeliveryAmount">#REF!</definedName>
    <definedName name="LookNGLDeliveryRate">#REF!</definedName>
    <definedName name="LookOtherGatheringAmount">#REF!</definedName>
    <definedName name="LookOtherGatheringRate">#REF!</definedName>
    <definedName name="LookPhone1">#REF!</definedName>
    <definedName name="LookPOR_Average_PSIG">#REF!</definedName>
    <definedName name="LookPostedWellHeadMmbtu">#REF!</definedName>
    <definedName name="LookPressureBaseAdjustedTheoreticalGallonsEthane">#REF!</definedName>
    <definedName name="LookPressureBaseAdjustedTheoreticalGallonsHexanes">#REF!</definedName>
    <definedName name="LookPressureBaseAdjustedTheoreticalGallonsIsoButane">#REF!</definedName>
    <definedName name="LookPressureBaseAdjustedTheoreticalGallonsIsoPentane">#REF!</definedName>
    <definedName name="LookPressureBaseAdjustedTheoreticalGallonsMethane">#REF!</definedName>
    <definedName name="LookPressureBaseAdjustedTheoreticalGallonsNormalButane">#REF!</definedName>
    <definedName name="LookPressureBaseAdjustedTheoreticalGallonsNormalPentane">#REF!</definedName>
    <definedName name="LookPressureBaseAdjustedTheoreticalGallonsPentanesPlus">#REF!</definedName>
    <definedName name="LookPressureBaseAdjustedTheoreticalGallonsPropane">#REF!</definedName>
    <definedName name="LookPressureBaseAdjustedTheoreticalGPMEthane">#REF!</definedName>
    <definedName name="LookPressureBaseAdjustedTheoreticalGPMHexanes">#REF!</definedName>
    <definedName name="LookPressureBaseAdjustedTheoreticalGPMIsoButane">#REF!</definedName>
    <definedName name="LookPressureBaseAdjustedTheoreticalGPMIsoPentane">#REF!</definedName>
    <definedName name="LookPressureBaseAdjustedTheoreticalGPMMethane">#REF!</definedName>
    <definedName name="LookPressureBaseAdjustedTheoreticalGPMNormalButane">#REF!</definedName>
    <definedName name="LookPressureBaseAdjustedTheoreticalGPMNormalPentane">#REF!</definedName>
    <definedName name="LookPressureBaseAdjustedTheoreticalGPMPentanesPlus">#REF!</definedName>
    <definedName name="LookPressureBaseAdjustedTheoreticalGPMPropane">#REF!</definedName>
    <definedName name="LookProducerNGLPercent">#REF!</definedName>
    <definedName name="LookProducerPercentEthane">#REF!</definedName>
    <definedName name="LookProducerPercentIsoButane">#REF!</definedName>
    <definedName name="LookProducerPercentNormalButane">#REF!</definedName>
    <definedName name="LookProducerPercentPentanesPlus">#REF!</definedName>
    <definedName name="LookProducerPercentPropane">#REF!</definedName>
    <definedName name="LookProducerProcessingOrSellingAtWellHead">#REF!</definedName>
    <definedName name="LookProducersShareOfLiquidsValueEthane">#REF!</definedName>
    <definedName name="LookProducersShareOfLiquidsValueHexanes">#REF!</definedName>
    <definedName name="LookProducersShareOfLiquidsValueISOButane">#REF!</definedName>
    <definedName name="LookProducersShareOfLiquidsValueIsoPentane">#REF!</definedName>
    <definedName name="LookProducersShareOfLiquidsValueMethane">#REF!</definedName>
    <definedName name="LookProducersShareOfLiquidsValueNormalButane">#REF!</definedName>
    <definedName name="LookProducersShareOfLiquidsValueNormalPentane">#REF!</definedName>
    <definedName name="LookProducersShareOfLiquidsValuePentanesPlus">#REF!</definedName>
    <definedName name="LookProducersShareOfLiquidsValuePropane">#REF!</definedName>
    <definedName name="LookProducersShareOfLiquidsValueTotal">#REF!</definedName>
    <definedName name="LookResidueAmount">#REF!</definedName>
    <definedName name="LookResidueGatheringAmount">#REF!</definedName>
    <definedName name="LookResidueGatheringRate">#REF!</definedName>
    <definedName name="LookResidueTransportAmount">#REF!</definedName>
    <definedName name="LookResidueTransportRate">#REF!</definedName>
    <definedName name="LookSettledResidue">#REF!</definedName>
    <definedName name="LookTheoreticalGallonsEthane">#REF!</definedName>
    <definedName name="LookTheoreticalGallonsHexanes">#REF!</definedName>
    <definedName name="LookTheoreticalGallonsIsoButane">#REF!</definedName>
    <definedName name="LookTheoreticalGallonsIsoPentane">#REF!</definedName>
    <definedName name="LookTheoreticalGallonsMethane">#REF!</definedName>
    <definedName name="LookTheoreticalGallonsNormalButane">#REF!</definedName>
    <definedName name="LookTheoreticalGallonsNormalPentane">#REF!</definedName>
    <definedName name="LookTheoreticalGallonsPropane">#REF!</definedName>
    <definedName name="LookTotalFeeAmount">#REF!</definedName>
    <definedName name="LookVendorNumber">#REF!</definedName>
    <definedName name="LookWellHeadMcf">#REF!</definedName>
    <definedName name="Loss_KW">#REF!</definedName>
    <definedName name="Loss_kWh">#REF!</definedName>
    <definedName name="Loss_Rate">#REF!</definedName>
    <definedName name="losses">#REF!</definedName>
    <definedName name="Low_EBITDA_Exit_Multiple">#N/A</definedName>
    <definedName name="lpo" hidden="1">{#N/A,#N/A,FALSE,"Aging Summary";#N/A,#N/A,FALSE,"Ratio Analysis";#N/A,#N/A,FALSE,"Test 120 Day Accts";#N/A,#N/A,FALSE,"Tickmarks"}</definedName>
    <definedName name="LRG_GE">#REF!</definedName>
    <definedName name="LRG_GJ">#REF!</definedName>
    <definedName name="lslkjd" hidden="1">#REF!</definedName>
    <definedName name="ltdebtyr1">#REF!</definedName>
    <definedName name="ltdebtyr10">#REF!</definedName>
    <definedName name="ltdebtyr11">#REF!</definedName>
    <definedName name="ltdebtyr12">#REF!</definedName>
    <definedName name="ltdebtyr13">#REF!</definedName>
    <definedName name="ltdebtyr14">#REF!</definedName>
    <definedName name="ltdebtyr15">#REF!</definedName>
    <definedName name="ltdebtyr16">#REF!</definedName>
    <definedName name="ltdebtyr17">#REF!</definedName>
    <definedName name="ltdebtyr18">#REF!</definedName>
    <definedName name="ltdebtyr19">#REF!</definedName>
    <definedName name="ltdebtyr2">#REF!</definedName>
    <definedName name="ltdebtyr20">#REF!</definedName>
    <definedName name="ltdebtyr21">#REF!</definedName>
    <definedName name="ltdebtyr3">#REF!</definedName>
    <definedName name="ltdebtyr4">#REF!</definedName>
    <definedName name="ltdebtyr5">#REF!</definedName>
    <definedName name="ltdebtyr6">#REF!</definedName>
    <definedName name="ltdebtyr7">#REF!</definedName>
    <definedName name="ltdebtyr8">#REF!</definedName>
    <definedName name="ltdebtyr9">#REF!</definedName>
    <definedName name="LUCAS">#REF!</definedName>
    <definedName name="LVRT_OPTION">#REF!</definedName>
    <definedName name="LYN">#REF!</definedName>
    <definedName name="m"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ACRO">#N/A</definedName>
    <definedName name="MACRS15_1">#N/A</definedName>
    <definedName name="MACRS15_10">#N/A</definedName>
    <definedName name="MACRS15_11">#N/A</definedName>
    <definedName name="MACRS15_12">#N/A</definedName>
    <definedName name="MACRS15_13">#N/A</definedName>
    <definedName name="MACRS15_14">#N/A</definedName>
    <definedName name="MACRS15_15">#N/A</definedName>
    <definedName name="MACRS15_16">#N/A</definedName>
    <definedName name="MACRS15_2">#N/A</definedName>
    <definedName name="MACRS15_3">#N/A</definedName>
    <definedName name="MACRS15_4">#N/A</definedName>
    <definedName name="MACRS15_5">#N/A</definedName>
    <definedName name="MACRS15_6">#N/A</definedName>
    <definedName name="MACRS15_7">#N/A</definedName>
    <definedName name="MACRS15_8">#N/A</definedName>
    <definedName name="MACRS15_9">#N/A</definedName>
    <definedName name="MACRS5_1">#N/A</definedName>
    <definedName name="MACRS5_2">#N/A</definedName>
    <definedName name="MACRS5_3">#N/A</definedName>
    <definedName name="MACRS5_4">#N/A</definedName>
    <definedName name="MACRS5_5">#N/A</definedName>
    <definedName name="MACRS5_6">#N/A</definedName>
    <definedName name="MAIN">#N/A</definedName>
    <definedName name="Main_T_Line_Dist">#REF!</definedName>
    <definedName name="main_xfmr_concrete">#REF!</definedName>
    <definedName name="Main_xfmr_price">#REF!</definedName>
    <definedName name="MainVolumeCascadeData">#REF!</definedName>
    <definedName name="MainVolumeData">#REF!</definedName>
    <definedName name="Major_Minor">#REF!</definedName>
    <definedName name="MajorLocations">#REF!</definedName>
    <definedName name="ManageCo_B2Tax_Forecast">#REF!</definedName>
    <definedName name="ManageCo_FBOS">#REF!</definedName>
    <definedName name="ManageCo_Federal_FBOS">#REF!</definedName>
    <definedName name="ManageCo_Gross_Up">#REF!</definedName>
    <definedName name="ManageCo_SBOF">#REF!</definedName>
    <definedName name="ManageCo_State_Rate">#REF!</definedName>
    <definedName name="ManageCo_State_Rate_No_Bonus">#REF!</definedName>
    <definedName name="ManageCo_TEO">#REF!</definedName>
    <definedName name="manuf7">#REF!</definedName>
    <definedName name="MAR">#N/A</definedName>
    <definedName name="Mar2017TopSide">#REF!</definedName>
    <definedName name="March18Data">#REF!</definedName>
    <definedName name="MARY" hidden="1">{#N/A,#N/A,TRUE,"TOTAL DISTRIBUTION";#N/A,#N/A,TRUE,"SOUTH";#N/A,#N/A,TRUE,"NORTHEAST";#N/A,#N/A,TRUE,"WEST"}</definedName>
    <definedName name="Material_Tax_Dollars">#REF!</definedName>
    <definedName name="Materials">#REF!</definedName>
    <definedName name="Materials_Percent">#REF!</definedName>
    <definedName name="Maximum_Bank_Debt___EBITDA">#N/A</definedName>
    <definedName name="Maximum_Sub._Debt___EBITDA">#N/A</definedName>
    <definedName name="mb"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_"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CGISS"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CGISS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CGISS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CGISS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CGISS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CGISS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FWT"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BR_FWT_1"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BR_FWT_2"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BR_FWT_3"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BR_FWT_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BR_FWT_5"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e">"Button 5"</definedName>
    <definedName name="MED">#REF!</definedName>
    <definedName name="MEDICARE">#REF!</definedName>
    <definedName name="MENUALL">#N/A</definedName>
    <definedName name="MENUALLOC">#N/A</definedName>
    <definedName name="MENUDBASE">#N/A</definedName>
    <definedName name="MENUDBS">#N/A</definedName>
    <definedName name="MENUPIC">#N/A</definedName>
    <definedName name="MENUPICK">#N/A</definedName>
    <definedName name="MENUPRNT">#N/A</definedName>
    <definedName name="MENUPRST">#N/A</definedName>
    <definedName name="MERCH_CAP">#N/A</definedName>
    <definedName name="MERCH_CAP1">#N/A</definedName>
    <definedName name="MERCH_CAP2">#N/A</definedName>
    <definedName name="MERCH_CAP3">#N/A</definedName>
    <definedName name="Meter_Allocation">#REF!</definedName>
    <definedName name="MeteredVolumes">#REF!</definedName>
    <definedName name="MeterProducerXRef">#REF!</definedName>
    <definedName name="MFTSR">#REF!</definedName>
    <definedName name="Mgmt">#REF!</definedName>
    <definedName name="Mgmt_Participation">#N/A</definedName>
    <definedName name="Mgmt_Participation_Equity">#N/A</definedName>
    <definedName name="MILAN">#REF!</definedName>
    <definedName name="million">1000000</definedName>
    <definedName name="MIN_CAPACITY">#N/A</definedName>
    <definedName name="MIN_TAKE">#N/A</definedName>
    <definedName name="Minimum_Cash_Balance">#N/A</definedName>
    <definedName name="misc">#N/A</definedName>
    <definedName name="MKT_IN">#N/A</definedName>
    <definedName name="mmm" hidden="1">{"summary",#N/A,FALSE,"PCR DIRECTORY"}</definedName>
    <definedName name="mmmmm" hidden="1">{#N/A,#N/A,FALSE,"SUMMARY";#N/A,#N/A,FALSE,"INPUTDATA";#N/A,#N/A,FALSE,"Condenser Performance"}</definedName>
    <definedName name="Mo_roll">#REF!</definedName>
    <definedName name="Model">#REF!</definedName>
    <definedName name="Models">#REF!</definedName>
    <definedName name="MonitorCol">1</definedName>
    <definedName name="MonitorRow">1</definedName>
    <definedName name="MonoPoleCost">#REF!</definedName>
    <definedName name="MONROEVILLE">#REF!</definedName>
    <definedName name="month">#REF!</definedName>
    <definedName name="MonthEndReconciliation_TempTable2">#REF!</definedName>
    <definedName name="Monthly_Peak">#REF!</definedName>
    <definedName name="MonthlyAdj">#REF!</definedName>
    <definedName name="MonthlyDetail">#REF!</definedName>
    <definedName name="MonthofProd">#REF!</definedName>
    <definedName name="months">#REF!</definedName>
    <definedName name="MOVE">#N/A</definedName>
    <definedName name="MRES_Demand">#REF!</definedName>
    <definedName name="MRES_Energy">#REF!</definedName>
    <definedName name="MRES_KW_with_Loss">#REF!</definedName>
    <definedName name="MRES_kWh_with_Loss">#REF!</definedName>
    <definedName name="MREV">#REF!</definedName>
    <definedName name="MS">#REF!</definedName>
    <definedName name="MTC_Amortization">#REF!</definedName>
    <definedName name="MTH">#N/A</definedName>
    <definedName name="Multiplier">#REF!</definedName>
    <definedName name="Mwe">#REF!</definedName>
    <definedName name="N"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_A">#REF!</definedName>
    <definedName name="NA" hidden="1">{#N/A,#N/A,FALSE,"Expenses";#N/A,#N/A,FALSE,"Revenue"}</definedName>
    <definedName name="nada" hidden="1">{2;#N/A;"R13C16:R17C16";#N/A;"R13C14:R17C15";FALSE;FALSE;FALSE;95;#N/A;#N/A;"R13C19";#N/A;FALSE;FALSE;FALSE;FALSE;#N/A;"";#N/A;FALSE;"";"";#N/A;#N/A;#N/A}</definedName>
    <definedName name="Name1" hidden="1">#REF!</definedName>
    <definedName name="Name2" hidden="1">#REF!</definedName>
    <definedName name="NAME3">#N/A</definedName>
    <definedName name="NAME4">#N/A</definedName>
    <definedName name="NAME6">#N/A</definedName>
    <definedName name="NAPOLEON">#REF!</definedName>
    <definedName name="NBUTANE">#REF!</definedName>
    <definedName name="NCP">#N/A</definedName>
    <definedName name="NCP_1">#N/A</definedName>
    <definedName name="NCPK1">#N/A</definedName>
    <definedName name="NCPK1X">#REF!</definedName>
    <definedName name="NCPK2">#REF!</definedName>
    <definedName name="NCPK2X">#REF!</definedName>
    <definedName name="NCPK3">#REF!</definedName>
    <definedName name="NEASG">#REF!</definedName>
    <definedName name="Net_Asset_Valuation">#REF!</definedName>
    <definedName name="Net_Income">#REF!</definedName>
    <definedName name="net_output">#REF!</definedName>
    <definedName name="net_power">#N/A</definedName>
    <definedName name="NET_TO_ZERO">#REF!</definedName>
    <definedName name="NETCAP">#N/A</definedName>
    <definedName name="NETWK_TRANS_PK_RPT_Print_Area">#REF!</definedName>
    <definedName name="new" localSheetId="25" hidden="1">{#N/A,#N/A,FALSE,"O&amp;M by processes";#N/A,#N/A,FALSE,"Elec Act vs Bud";#N/A,#N/A,FALSE,"G&amp;A";#N/A,#N/A,FALSE,"BGS";#N/A,#N/A,FALSE,"Res Cost"}</definedName>
    <definedName name="new" localSheetId="26" hidden="1">{#N/A,#N/A,FALSE,"O&amp;M by processes";#N/A,#N/A,FALSE,"Elec Act vs Bud";#N/A,#N/A,FALSE,"G&amp;A";#N/A,#N/A,FALSE,"BGS";#N/A,#N/A,FALSE,"Res Cost"}</definedName>
    <definedName name="new">#REF!</definedName>
    <definedName name="New_Debt_Issue_Size">#N/A</definedName>
    <definedName name="New_Debt_Net_Proceeds">#N/A</definedName>
    <definedName name="New_Debt_Rate">#N/A</definedName>
    <definedName name="New_Debt_U_W_Fees">#N/A</definedName>
    <definedName name="New_Debt_U_W_Spread">#N/A</definedName>
    <definedName name="new_ins">#N/A</definedName>
    <definedName name="New_Senior_Debt">#N/A</definedName>
    <definedName name="new_senior_debt_rate">#N/A</definedName>
    <definedName name="New_Wilmington">#REF!</definedName>
    <definedName name="newcobp">#REF!</definedName>
    <definedName name="newname" hidden="1">{#N/A,#N/A,FALSE,"CAP 1998";#N/A,#N/A,FALSE,"CAP 1999";#N/A,#N/A,FALSE,"CAP 2000";#N/A,#N/A,FALSE,"CAP_2001";#N/A,#N/A,FALSE,"CAP_2002";#N/A,#N/A,FALSE,"MAINT_1998";#N/A,#N/A,FALSE,"MAINT_1999";#N/A,#N/A,FALSE,"MAINT_2000";#N/A,#N/A,FALSE,"MAINT_2001";#N/A,#N/A,FALSE,"MAINT_2002"}</definedName>
    <definedName name="NEWTON_FALLS">#REF!</definedName>
    <definedName name="ng_feed">#N/A</definedName>
    <definedName name="ng_fuel">#N/A</definedName>
    <definedName name="ng_price">#N/A</definedName>
    <definedName name="ngcost_cogen">#N/A</definedName>
    <definedName name="ngcost_fuel">#N/A</definedName>
    <definedName name="ngcost_h2">#N/A</definedName>
    <definedName name="NGPL_GDDPrice">#REF!</definedName>
    <definedName name="NILES">#REF!</definedName>
    <definedName name="NINE">#N/A</definedName>
    <definedName name="nn"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nnn" hidden="1">{#N/A,#N/A,FALSE,"T COST";#N/A,#N/A,FALSE,"COST_FH"}</definedName>
    <definedName name="NoErrMsg">#REF!</definedName>
    <definedName name="NOL">#REF!</definedName>
    <definedName name="NOL_limit">#REF!</definedName>
    <definedName name="NOL_tax">#REF!</definedName>
    <definedName name="non_cap_int">#REF!</definedName>
    <definedName name="none" hidden="1">{#N/A,#N/A,TRUE,"TOTAL DISTRIBUTION";#N/A,#N/A,TRUE,"SOUTH";#N/A,#N/A,TRUE,"NORTHEAST";#N/A,#N/A,TRUE,"WEST"}</definedName>
    <definedName name="nonrec_oil">#N/A</definedName>
    <definedName name="NonWood">#REF!</definedName>
    <definedName name="NormErrMsg">#REF!</definedName>
    <definedName name="NOTE">#REF!</definedName>
    <definedName name="NOTE_A">#REF!</definedName>
    <definedName name="NOTE_B">#REF!</definedName>
    <definedName name="NOTE2">#REF!</definedName>
    <definedName name="NOV">#N/A</definedName>
    <definedName name="NP">#REF!</definedName>
    <definedName name="NPLs">#REF!</definedName>
    <definedName name="NSP_COS">#REF!</definedName>
    <definedName name="NTDR">#REF!</definedName>
    <definedName name="NTPL_Fuel">#REF!</definedName>
    <definedName name="NTPL_Transport">#REF!</definedName>
    <definedName name="NTPLT">#REF!</definedName>
    <definedName name="NTSRR">#REF!</definedName>
    <definedName name="Nuclear_Secur_Date">#REF!</definedName>
    <definedName name="NumberArea">#REF!</definedName>
    <definedName name="NumberOfDaysInMonth">#REF!</definedName>
    <definedName name="NvsAnswerCol">"'[RP Consolidating IS YTD - 2017 - 9.xlsx]BU List'!$A$4:$A$19"</definedName>
    <definedName name="NvsASD">"V2016-12-31"</definedName>
    <definedName name="NvsAutoDrillOk">"VN"</definedName>
    <definedName name="NvsElapsedTime">0.0000462962925666943</definedName>
    <definedName name="NvsEndTime">42816.4573842593</definedName>
    <definedName name="NvsInstLang">"VENG"</definedName>
    <definedName name="NvsInstSpec">"%,FBUSINESS_UNIT,V41000"</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"V10000"</definedName>
    <definedName name="NvsPanelEffdt">"V2016-02-06"</definedName>
    <definedName name="NvsPanelSetid">"VSHARE"</definedName>
    <definedName name="NvsReqBU">"V10000"</definedName>
    <definedName name="NvsReqBUOnly">"VN"</definedName>
    <definedName name="NvsStyleNme">"BBStyle.xls"</definedName>
    <definedName name="NvsTransLed">"VN"</definedName>
    <definedName name="NvsTreeASD">"V2016-12-31"</definedName>
    <definedName name="NvsValTbl.ACCOUNT">"GL_ACCOUNT_TBL"</definedName>
    <definedName name="NvsValTbl.AFFILIATE">"AFFILIATE_VW"</definedName>
    <definedName name="NvsValTbl.BUSINESS_UNIT">"BUS_UNIT_TBL_FS"</definedName>
    <definedName name="NvsValTbl.CURRENCY_CD">"CURRENCY_CD_TBL"</definedName>
    <definedName name="NvsValTbl.DEPTID">"DEPT_TBL"</definedName>
    <definedName name="NvsValTbl.E_LEGAL_ENTITY">"E_LE_TBL"</definedName>
    <definedName name="NWASG">#REF!</definedName>
    <definedName name="O_DEGRADE">#N/A</definedName>
    <definedName name="O_HRS">#N/A</definedName>
    <definedName name="OAK_HARBOR">#REF!</definedName>
    <definedName name="OASDI">#REF!</definedName>
    <definedName name="OBERLIN">#REF!</definedName>
    <definedName name="oct" hidden="1">{#N/A,#N/A,FALSE,"TOTFINAL";#N/A,#N/A,FALSE,"FINPLAN";#N/A,#N/A,FALSE,"TOTMOTADJ";#N/A,#N/A,FALSE,"tieEQ";#N/A,#N/A,FALSE,"G";#N/A,#N/A,FALSE,"ELIMS";#N/A,#N/A,FALSE,"NEXTEL ADJ";#N/A,#N/A,FALSE,"MIMS";#N/A,#N/A,FALSE,"LMPS";#N/A,#N/A,FALSE,"CNSS";#N/A,#N/A,FALSE,"CSS";#N/A,#N/A,FALSE,"MCG";#N/A,#N/A,FALSE,"AECS";#N/A,#N/A,FALSE,"SPS";#N/A,#N/A,FALSE,"CORP"}</definedName>
    <definedName name="oct18_spendToDate">#REF!</definedName>
    <definedName name="OEM_WTGs">#REF!</definedName>
    <definedName name="OH_Pole_Select">#REF!</definedName>
    <definedName name="OIL_RATE">OFFSET(#REF!,3,IF(#REF!=1,#REF!+1,5*#REF!-3),20000,1)</definedName>
    <definedName name="oiupiu" hidden="1">{"US Chemical Summary",#N/A,FALSE,"USChem";"Foreign Chemical Summary",#N/A,FALSE,"ForChem"}</definedName>
    <definedName name="oiutyut" hidden="1">{"US EP DCF Valuation",#N/A,FALSE,"USE&amp;P ";"Can EP DCF Valuation",#N/A,FALSE,"Can E&amp;P";"Eur EP DCF Valuation",#N/A,FALSE,"Eur E&amp;P";"ASPAC EP DCF Valuation",#N/A,FALSE,"Asia-Pac E&amp;P";"NonCon EP DCF Valuation",#N/A,FALSE,"Non-Con E&amp;P"}</definedName>
    <definedName name="oiuyt" hidden="1">{"us ep earnings",#N/A,FALSE,"US E&amp;P";"us ep price vol detail",#N/A,FALSE,"US E&amp;P";"fareast ep earnings",#N/A,FALSE,"Far East E&amp;P";"fareast ep price vol detail",#N/A,FALSE,"Far East E&amp;P";"other EP earnings",#N/A,FALSE,"Other E&amp;P";"other EP price vol detail",#N/A,FALSE,"Other E&amp;P"}</definedName>
    <definedName name="ok" hidden="1">{#N/A,#N/A,FALSE,"Aging Summary";#N/A,#N/A,FALSE,"Ratio Analysis";#N/A,#N/A,FALSE,"Test 120 Day Accts";#N/A,#N/A,FALSE,"Tickmarks"}</definedName>
    <definedName name="okay"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Oklahoma">#REF!</definedName>
    <definedName name="ol"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oldname" hidden="1">{#N/A,#N/A,FALSE,"CAP 1998";#N/A,#N/A,FALSE,"CAP 1999";#N/A,#N/A,FALSE,"CAP 2000";#N/A,#N/A,FALSE,"CAP_2001";#N/A,#N/A,FALSE,"CAP_2002";#N/A,#N/A,FALSE,"MAINT_1998";#N/A,#N/A,FALSE,"MAINT_1999";#N/A,#N/A,FALSE,"MAINT_2000";#N/A,#N/A,FALSE,"MAINT_2001";#N/A,#N/A,FALSE,"MAINT_2002"}</definedName>
    <definedName name="olg" hidden="1">{#N/A,#N/A,FALSE,"Results";#N/A,#N/A,FALSE,"Input Data";#N/A,#N/A,FALSE,"Generation Calculation";#N/A,#N/A,FALSE,"Unit Heat Rate Calculation";#N/A,#N/A,FALSE,"BEFF.XLS";#N/A,#N/A,FALSE,"TURBEFF.XLS";#N/A,#N/A,FALSE,"Final FWH Extraction Flow";#N/A,#N/A,FALSE,"Condenser Performance";#N/A,#N/A,FALSE,"Stage Pressure Correction"}</definedName>
    <definedName name="OM">#N/A</definedName>
    <definedName name="OM_Rate">#REF!</definedName>
    <definedName name="OMB">#REF!</definedName>
    <definedName name="one">1</definedName>
    <definedName name="OnePager">#REF!</definedName>
    <definedName name="OnyxAllocation">#REF!</definedName>
    <definedName name="Operating_Assumptions">#N/A</definedName>
    <definedName name="OPERATING_HOURS">#N/A</definedName>
    <definedName name="OperatingCost">#REF!</definedName>
    <definedName name="OPERATIONS">#N/A</definedName>
    <definedName name="Operator_Fee">#N/A</definedName>
    <definedName name="OPEX_Acct">#REF!</definedName>
    <definedName name="ophours">#N/A</definedName>
    <definedName name="opiu" hidden="1">{2;#N/A;"R13C16:R17C16";#N/A;"R13C14:R17C15";FALSE;FALSE;FALSE;95;#N/A;#N/A;"R13C19";#N/A;FALSE;FALSE;FALSE;FALSE;#N/A;"";#N/A;FALSE;"";"";#N/A;#N/A;#N/A}</definedName>
    <definedName name="Opt_goalseek_change">#REF!</definedName>
    <definedName name="Opt_Goalseek_target">#REF!</definedName>
    <definedName name="or"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OTHER">#N/A</definedName>
    <definedName name="Other_1">#N/A</definedName>
    <definedName name="Other_2">#N/A</definedName>
    <definedName name="Other_3">#N/A</definedName>
    <definedName name="Other_4">#N/A</definedName>
    <definedName name="Other_5">#N/A</definedName>
    <definedName name="Other_6">#N/A</definedName>
    <definedName name="Other_Tax">#REF!</definedName>
    <definedName name="otherterm">#N/A</definedName>
    <definedName name="OTR_TST">#REF!</definedName>
    <definedName name="OUTAGE">#N/A</definedName>
    <definedName name="outage_ot">#N/A</definedName>
    <definedName name="Outage_Rate">#N/A</definedName>
    <definedName name="outage_work">#N/A</definedName>
    <definedName name="Ownership_Tables">#N/A</definedName>
    <definedName name="oyutfc" hidden="1">{"Earnings",#N/A,FALSE,"Earnings";"BalanceSheet",#N/A,FALSE,"BalanceSheet";"ChangeinCash",#N/A,FALSE,"CashFlow";"IR Production Sum",#N/A,FALSE,"E&amp;P Summary";"IR EPCost Sum",#N/A,FALSE,"E&amp;P Summary"}</definedName>
    <definedName name="P">#REF!</definedName>
    <definedName name="P_BOILER_FUEL">#N/A</definedName>
    <definedName name="P_CAPACITY2">#N/A</definedName>
    <definedName name="P_DUCT_FUEL">#N/A</definedName>
    <definedName name="P_FUEL_V">#N/A</definedName>
    <definedName name="P_GT_FUEL">#N/A</definedName>
    <definedName name="P_HRS">#N/A</definedName>
    <definedName name="P_OFUEL">#N/A</definedName>
    <definedName name="P_TYPE">#N/A</definedName>
    <definedName name="P1ATCPV">#REF!</definedName>
    <definedName name="P1PTCPV">#REF!</definedName>
    <definedName name="P1PTCPV2">#REF!</definedName>
    <definedName name="P2ATCPV">#REF!</definedName>
    <definedName name="P2PTCPV">#REF!</definedName>
    <definedName name="P2PTCPV2">#REF!</definedName>
    <definedName name="Padmount">#REF!</definedName>
    <definedName name="PAGE.1">#REF!</definedName>
    <definedName name="PAGE.2">#REF!</definedName>
    <definedName name="PAGE.4">#REF!</definedName>
    <definedName name="PAGE.5">#REF!</definedName>
    <definedName name="PAGE.6">#REF!</definedName>
    <definedName name="PAGE.7">#REF!</definedName>
    <definedName name="PAGE_2A">#REF!</definedName>
    <definedName name="PAGE_3B">#REF!</definedName>
    <definedName name="PAGE1">#REF!</definedName>
    <definedName name="page10">#REF!</definedName>
    <definedName name="page11">#REF!</definedName>
    <definedName name="page12">#REF!</definedName>
    <definedName name="page13">#REF!</definedName>
    <definedName name="page14">#REF!</definedName>
    <definedName name="page15">#REF!</definedName>
    <definedName name="page16">#REF!</definedName>
    <definedName name="PAGE1A">#REF!</definedName>
    <definedName name="PAGE2">#REF!</definedName>
    <definedName name="PAGE3">#REF!</definedName>
    <definedName name="PAGE3A">#REF!</definedName>
    <definedName name="PAGE4">#REF!</definedName>
    <definedName name="PAGE4A">#REF!</definedName>
    <definedName name="PAGE5">#REF!</definedName>
    <definedName name="PAGE6">#REF!</definedName>
    <definedName name="PAGE7">#REF!</definedName>
    <definedName name="PAGE8">#REF!</definedName>
    <definedName name="PAGE9">#REF!</definedName>
    <definedName name="PageA">#REF!</definedName>
    <definedName name="PageB">#REF!</definedName>
    <definedName name="PageC">#REF!</definedName>
    <definedName name="PandL">#REF!</definedName>
    <definedName name="PartnersATCPV">#REF!</definedName>
    <definedName name="PartnersPTCPV">#REF!</definedName>
    <definedName name="PartnersPTCPV2">#REF!</definedName>
    <definedName name="Parts">#N/A</definedName>
    <definedName name="PAYBACK">#N/A</definedName>
    <definedName name="payroll">#N/A</definedName>
    <definedName name="PB">#N/A</definedName>
    <definedName name="PB_2">#N/A</definedName>
    <definedName name="PCap" hidden="1">#REF!</definedName>
    <definedName name="PCount" hidden="1">#REF!</definedName>
    <definedName name="pctHW">#REF!</definedName>
    <definedName name="pctSWExp">#REF!</definedName>
    <definedName name="pctTraining">#REF!</definedName>
    <definedName name="PEAK">#REF!</definedName>
    <definedName name="PEMBERVILLE">#REF!</definedName>
    <definedName name="PENTANE">#REF!</definedName>
    <definedName name="PEOPLE">#N/A</definedName>
    <definedName name="PER">#REF!</definedName>
    <definedName name="Percent">#REF!</definedName>
    <definedName name="Percent_Ownership">#N/A</definedName>
    <definedName name="Percentage_of_Shares_to_Buy">#N/A</definedName>
    <definedName name="PF">#REF!</definedName>
    <definedName name="PF_EAI">#REF!</definedName>
    <definedName name="PF_EGSI">#REF!</definedName>
    <definedName name="PF_ELI">#REF!</definedName>
    <definedName name="PF_EMI">#REF!</definedName>
    <definedName name="PF_ENOI">#REF!</definedName>
    <definedName name="PGAS_Meter_Volumes">#REF!</definedName>
    <definedName name="PHILOSOPHY">#REF!</definedName>
    <definedName name="Phoenix">#REF!</definedName>
    <definedName name="pig_dig5" hidden="1">{#N/A,#N/A,FALSE,"T COST";#N/A,#N/A,FALSE,"COST_FH"}</definedName>
    <definedName name="pig_dog" hidden="1">{2;#N/A;"R13C16:R17C16";#N/A;"R13C14:R17C15";FALSE;FALSE;FALSE;95;#N/A;#N/A;"R13C19";#N/A;FALSE;FALSE;FALSE;FALSE;#N/A;"";#N/A;FALSE;"";"";#N/A;#N/A;#N/A}</definedName>
    <definedName name="pig_dog\" hidden="1">{"EXCELHLP.HLP!1802";5;10;5;10;13;13;13;8;5;5;10;14;13;13;13;13;5;10;14;13;5;10;1;2;24}</definedName>
    <definedName name="pig_dog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3" hidden="1">{#N/A,#N/A,FALSE,"Results";#N/A,#N/A,FALSE,"Input Data";#N/A,#N/A,FALSE,"Generation Calculation";#N/A,#N/A,FALSE,"Unit Heat Rate Calculation";#N/A,#N/A,FALSE,"BEFF.XLS";#N/A,#N/A,FALSE,"TURBEFF.XLS";#N/A,#N/A,FALSE,"Final FWH Extraction Flow";#N/A,#N/A,FALSE,"Condenser Performance";#N/A,#N/A,FALSE,"Stage Pressure Correction"}</definedName>
    <definedName name="pig_dog4" hidden="1">{#N/A,#N/A,FALSE,"SUMMARY";#N/A,#N/A,FALSE,"INPUTDATA";#N/A,#N/A,FALSE,"Condenser Performance"}</definedName>
    <definedName name="pig_dog6" hidden="1">{#N/A,#N/A,FALSE,"INPUTDATA";#N/A,#N/A,FALSE,"SUMMARY";#N/A,#N/A,FALSE,"CTAREP";#N/A,#N/A,FALSE,"CTBREP";#N/A,#N/A,FALSE,"TURBEFF";#N/A,#N/A,FALSE,"Condenser Performance"}</definedName>
    <definedName name="pig_dog7" hidden="1">{#N/A,#N/A,FALSE,"INPUTDATA";#N/A,#N/A,FALSE,"SUMMARY"}</definedName>
    <definedName name="pig_dog8" hidden="1">{#N/A,#N/A,FALSE,"INPUTDATA";#N/A,#N/A,FALSE,"SUMMARY";#N/A,#N/A,FALSE,"CTAREP";#N/A,#N/A,FALSE,"CTBREP";#N/A,#N/A,FALSE,"PMG4ST86";#N/A,#N/A,FALSE,"TURBEFF";#N/A,#N/A,FALSE,"Condenser Performance"}</definedName>
    <definedName name="PIONEER">#REF!</definedName>
    <definedName name="pioupoiu" hidden="1">{"Earnings_Summary",#N/A,FALSE,"Earnings Model";"Earnings EP Detail",#N/A,FALSE,"Earnings Model";"Earnings RM Detail",#N/A,FALSE,"Earnings Model"}</definedName>
    <definedName name="pipiupiou" hidden="1">{"Earnings",#N/A,FALSE,"Earnings";"BalanceSheet",#N/A,FALSE,"BalanceSheet";"Change in Cash",#N/A,FALSE,"CashFlow";"normalengs",#N/A,FALSE,"NormalEngs";"upstream normal per Bbl",#N/A,FALSE,"NormEngUp";"CAPEXsum",#N/A,FALSE,"CAPEX Sum"}</definedName>
    <definedName name="piuoip" hidden="1">{"Fact Sheet",#N/A,FALSE,"Fact";"Earnings_Summary",#N/A,FALSE,"Earnings Model";"Earnings EP Detail",#N/A,FALSE,"Earnings Model";"Earnings RM Detail",#N/A,FALSE,"Earnings Model";"Qtr Earnings Model",#N/A,FALSE,"Quarters";"Balance Sheet",#N/A,FALSE,"Balance";"Balance Sheet Details",#N/A,FALSE,"Balance";"Change in Cash",#N/A,FALSE,"Change in Cash";"Ratios",#N/A,FALSE,"Ratios";"NAV",#N/A,FALSE,"NAV";"ROCE",#N/A,FALSE,"ROCE";"Dupont",#N/A,FALSE,"Dupont";"US EP Earn and Prof Analysis",#N/A,FALSE,"USE&amp;P ";"Can EP Earn and Prof Analysis",#N/A,FALSE,"Can E&amp;P";"Eur EP Earn and Prof Analysis",#N/A,FALSE,"Eur E&amp;P";"ASPAC EP Earn and Prof Analysis",#N/A,FALSE,"Asia-Pac E&amp;P";"NonCon EP Earn Prof Analysis",#N/A,FALSE,"Non-Con E&amp;P";"OG Production Sum",#N/A,FALSE,"E&amp;P Summary";"DCF Analysis",#N/A,FALSE,"DCF";"US EP DCF Valuation",#N/A,FALSE,"USE&amp;P ";"Can EP DCF Valuation",#N/A,FALSE,"Can E&amp;P";"Eur EP DCF Valuation",#N/A,FALSE,"Eur E&amp;P";"ASPAC EP DCF Valuation",#N/A,FALSE,"Asia-Pac E&amp;P";"NonCon EP DCF Valuation",#N/A,FALSE,"Non-Con E&amp;P";"US RM Earnings Summary",#N/A,FALSE,"US R&amp;M";"US RM Realization Data",#N/A,FALSE,"US R&amp;M";"For RM Earnings Detail",#N/A,FALSE,"Foreign R&amp;M";"For RM Real and Vol Detail",#N/A,FALSE,"Foreign R&amp;M";"US Chemical Summary",#N/A,FALSE,"USChem";"Foreign Chemical Summary",#N/A,FALSE,"ForChem";"Assume",#N/A,FALSE,"Assumptions"}</definedName>
    <definedName name="PK_1">#N/A</definedName>
    <definedName name="pka" hidden="1">{#N/A,#N/A,FALSE,"INPUTDATA";#N/A,#N/A,FALSE,"SUMMARY";#N/A,#N/A,FALSE,"CTAREP";#N/A,#N/A,FALSE,"CTBREP";#N/A,#N/A,FALSE,"PMG4ST86";#N/A,#N/A,FALSE,"TURBEFF";#N/A,#N/A,FALSE,"Condenser Performance"}</definedName>
    <definedName name="Plant_Original_Cost">#REF!</definedName>
    <definedName name="Plant_Tax">#REF!</definedName>
    <definedName name="PlantFlare">#REF!</definedName>
    <definedName name="PlantInfo">#REF!</definedName>
    <definedName name="PlantInfoHeading">#REF!</definedName>
    <definedName name="PlantsList">#REF!</definedName>
    <definedName name="plus_pmts">#REF!</definedName>
    <definedName name="pms" hidden="1">{"detail305",#N/A,FALSE,"BI-305"}</definedName>
    <definedName name="pnc" hidden="1">{#N/A,#N/A,FALSE,"T COST";#N/A,#N/A,FALSE,"COST_FH"}</definedName>
    <definedName name="po" hidden="1">{#N/A,#N/A,FALSE,"Summary";#N/A,#N/A,FALSE,"Adj to Option C";#N/A,#N/A,FALSE,"Dividend Analysis";#N/A,#N/A,FALSE,"Reserve Analysis";#N/A,#N/A,FALSE,"Depreciation";#N/A,#N/A,FALSE,"Other Tax Adj"}</definedName>
    <definedName name="poiji" hidden="1">{"Balance Sheet",#N/A,FALSE,"Balance";"Balance Sheet Details",#N/A,FALSE,"Balance"}</definedName>
    <definedName name="poiuy" hidden="1">{#N/A,#N/A,FALSE,"Aging Summary";#N/A,#N/A,FALSE,"Ratio Analysis";#N/A,#N/A,FALSE,"Test 120 Day Accts";#N/A,#N/A,FALSE,"Tickmarks"}</definedName>
    <definedName name="Pole">#REF!</definedName>
    <definedName name="Pole_Column">#REF!</definedName>
    <definedName name="Pole_Freight_Column">#REF!</definedName>
    <definedName name="Pole_Materials">#REF!</definedName>
    <definedName name="Pole_Selection">#REF!</definedName>
    <definedName name="PoleMaterials">#REF!</definedName>
    <definedName name="PoleType">#REF!</definedName>
    <definedName name="post_fossil">#REF!</definedName>
    <definedName name="POWER">#N/A</definedName>
    <definedName name="power_price">#N/A</definedName>
    <definedName name="power_use">#N/A</definedName>
    <definedName name="PPA">#REF!</definedName>
    <definedName name="ppa_table">#REF!</definedName>
    <definedName name="PPE">#N/A</definedName>
    <definedName name="PPLT">#REF!</definedName>
    <definedName name="ppp" hidden="1">{"summary",#N/A,FALSE,"PCR DIRECTORY"}</definedName>
    <definedName name="PPT">#REF!</definedName>
    <definedName name="PR">#REF!</definedName>
    <definedName name="PR_Factor">#N/A</definedName>
    <definedName name="prb" hidden="1">{"summary",#N/A,FALSE,"PCR DIRECTORY"}</definedName>
    <definedName name="Premium">#N/A</definedName>
    <definedName name="PresentationNormalA4">#N/A</definedName>
    <definedName name="PreTaxDebt">#REF!</definedName>
    <definedName name="Previous_Meter_Reading">#REF!</definedName>
    <definedName name="PRICE">#REF!</definedName>
    <definedName name="Prime_Contractor">#REF!</definedName>
    <definedName name="print">#REF!</definedName>
    <definedName name="print_all">#REF!</definedName>
    <definedName name="print_all_D_1">#REF!</definedName>
    <definedName name="_xlnm.Print_Area" localSheetId="2">'1 - Revenue Credits'!$A$1:$G$48</definedName>
    <definedName name="_xlnm.Print_Area" localSheetId="20">'11 - CWIP'!$A$1:$Y$37</definedName>
    <definedName name="_xlnm.Print_Area" localSheetId="21">'12 - Income Tax Adjustment'!$A$1:$F$23</definedName>
    <definedName name="_xlnm.Print_Area" localSheetId="3">'2 - Cost Support '!$A$1:$F$110</definedName>
    <definedName name="_xlnm.Print_Area" localSheetId="4">'2a - Cost Support'!$A$1:$M$105</definedName>
    <definedName name="_xlnm.Print_Area" localSheetId="5">'2b - Cost Support'!$A$1:$Q$47</definedName>
    <definedName name="_xlnm.Print_Area" localSheetId="6">'3 - Incentives'!$A$1:$J$48</definedName>
    <definedName name="_xlnm.Print_Area" localSheetId="7">'3a - Incentives'!$A$1:$AH$31</definedName>
    <definedName name="_xlnm.Print_Area" localSheetId="8">'4 - Cap Adds'!$A$1:$N$70</definedName>
    <definedName name="_xlnm.Print_Area" localSheetId="9">'5 - True-Up'!$A$1:$I$45</definedName>
    <definedName name="_xlnm.Print_Area" localSheetId="10">'6a-ADIT Projection'!$A$1:$I$37</definedName>
    <definedName name="_xlnm.Print_Area" localSheetId="11">'6b-ADIT Projection Proration'!$A$1:$L$61</definedName>
    <definedName name="_xlnm.Print_Area" localSheetId="12">'6c- ADIT BOY'!$A$1:$H$84</definedName>
    <definedName name="_xlnm.Print_Area" localSheetId="13">'6d- ADIT EOY'!$A$1:$H$84</definedName>
    <definedName name="_xlnm.Print_Area" localSheetId="14">'6e-ADIT True-up'!$A$1:$I$37</definedName>
    <definedName name="_xlnm.Print_Area" localSheetId="15">'6f-ADIT True-up Proration'!$A$1:$AF$61</definedName>
    <definedName name="_xlnm.Print_Area" localSheetId="16">'7- Depreciation Rates'!$A$1:$F$41</definedName>
    <definedName name="_xlnm.Print_Area" localSheetId="18">'9 - Reg. Assets and Abnd Plnt'!$A$1:$AJ$84</definedName>
    <definedName name="_xlnm.Print_Area" localSheetId="1">'Appendix III'!$A$1:$M$236</definedName>
    <definedName name="_xlnm.Print_Area" localSheetId="0">Index!$A$1:$C$29</definedName>
    <definedName name="_xlnm.Print_Area" localSheetId="22">'WP1 - O&amp;M detail'!$A$1:$H$68</definedName>
    <definedName name="_xlnm.Print_Area" localSheetId="23">'WP2 - A&amp;G detail'!$A$1:$H$48</definedName>
    <definedName name="_xlnm.Print_Area" localSheetId="24">'WP3 - Cap Ex'!$A$1:$M$54</definedName>
    <definedName name="_xlnm.Print_Area" localSheetId="25">'WP4 - Affiliate Allocations'!$A$1:$G$21</definedName>
    <definedName name="_xlnm.Print_Area" localSheetId="26">'WP5 - Cost Allocation'!$A$1:$F$17</definedName>
    <definedName name="_xlnm.Print_Area">#REF!</definedName>
    <definedName name="PRINT_AREA_MI">#REF!</definedName>
    <definedName name="Print_Area_MI.1">#REF!</definedName>
    <definedName name="print_sch">#REF!</definedName>
    <definedName name="_xlnm.Print_Titles" localSheetId="20">'11 - CWIP'!$A:$A</definedName>
    <definedName name="_xlnm.Print_Titles" localSheetId="7">'3a - Incentives'!$A:$B</definedName>
    <definedName name="_xlnm.Print_Titles" localSheetId="10">'6a-ADIT Projection'!$19:$20</definedName>
    <definedName name="_xlnm.Print_Titles" localSheetId="11">'6b-ADIT Projection Proration'!$6:$7</definedName>
    <definedName name="_xlnm.Print_Titles" localSheetId="14">'6e-ADIT True-up'!$19:$20</definedName>
    <definedName name="_xlnm.Print_Titles" localSheetId="15">'6f-ADIT True-up Proration'!$6:$7</definedName>
    <definedName name="_xlnm.Print_Titles">#N/A</definedName>
    <definedName name="Print_Titles_MI">#REF!,#REF!</definedName>
    <definedName name="Print1">#REF!</definedName>
    <definedName name="Print3">#REF!</definedName>
    <definedName name="Print4">#REF!</definedName>
    <definedName name="Print5">#REF!</definedName>
    <definedName name="PrintareaDec">#REF!,#REF!,#REF!</definedName>
    <definedName name="PRINTFILE">#REF!</definedName>
    <definedName name="Prior_Year_End">#REF!</definedName>
    <definedName name="Prj_Output">#REF!</definedName>
    <definedName name="Prj_Revision">#REF!</definedName>
    <definedName name="prj_start">#REF!</definedName>
    <definedName name="prj_term">#REF!</definedName>
    <definedName name="Pro_Rata_Factor">#N/A</definedName>
    <definedName name="Producer_Database">#REF!</definedName>
    <definedName name="Production_Gals_Butane">#REF!</definedName>
    <definedName name="Production_Gals_Ethane">#REF!</definedName>
    <definedName name="Production_Gals_Pentanes">#REF!</definedName>
    <definedName name="Production_Gals_Propane">#REF!</definedName>
    <definedName name="ProductionMonth">#REF!</definedName>
    <definedName name="ProImportExport.ImportFile">#N/A</definedName>
    <definedName name="ProImportExport.SaveNewFile">#N/A</definedName>
    <definedName name="PROJ_WOTextLen">#REF!</definedName>
    <definedName name="Project_Cost__All_In___000">#N/A</definedName>
    <definedName name="Project_Name">#N/A</definedName>
    <definedName name="Projection">#REF!</definedName>
    <definedName name="ProjectName">#REF!</definedName>
    <definedName name="projects">#REF!</definedName>
    <definedName name="ProjIDList">#REF!</definedName>
    <definedName name="PROPANE">#REF!</definedName>
    <definedName name="PropertyGroupName">#REF!</definedName>
    <definedName name="PropertyUnitName">#REF!</definedName>
    <definedName name="Proposed" hidden="1">{#N/A,#N/A,TRUE,"TOTAL DISTRIBUTION";#N/A,#N/A,TRUE,"SOUTH";#N/A,#N/A,TRUE,"NORTHEAST";#N/A,#N/A,TRUE,"WEST"}</definedName>
    <definedName name="PROSPECT">#REF!</definedName>
    <definedName name="protected_sheet_password">#REF!</definedName>
    <definedName name="Provision" hidden="1">#REF!</definedName>
    <definedName name="prys" hidden="1">table_inspection</definedName>
    <definedName name="PSCo_COS">#REF!</definedName>
    <definedName name="PSLJ8LG">#N/A</definedName>
    <definedName name="PSOKI6">#N/A</definedName>
    <definedName name="ptcdebtyr1">#REF!</definedName>
    <definedName name="ptcdebtyr10">#REF!</definedName>
    <definedName name="ptcdebtyr11">#REF!</definedName>
    <definedName name="ptcdebtyr12">#REF!</definedName>
    <definedName name="ptcdebtyr13">#REF!</definedName>
    <definedName name="ptcdebtyr14">#REF!</definedName>
    <definedName name="ptcdebtyr15">#REF!</definedName>
    <definedName name="ptcdebtyr16">#REF!</definedName>
    <definedName name="ptcdebtyr17">#REF!</definedName>
    <definedName name="ptcdebtyr18">#REF!</definedName>
    <definedName name="ptcdebtyr19">#REF!</definedName>
    <definedName name="ptcdebtyr2">#REF!</definedName>
    <definedName name="ptcdebtyr20">#REF!</definedName>
    <definedName name="ptcdebtyr21">#REF!</definedName>
    <definedName name="ptcdebtyr3">#REF!</definedName>
    <definedName name="ptcdebtyr4">#REF!</definedName>
    <definedName name="ptcdebtyr5">#REF!</definedName>
    <definedName name="ptcdebtyr6">#REF!</definedName>
    <definedName name="ptcdebtyr7">#REF!</definedName>
    <definedName name="ptcdebtyr8">#REF!</definedName>
    <definedName name="ptcdebtyr9">#REF!</definedName>
    <definedName name="Purchase_Price_Plant">#REF!</definedName>
    <definedName name="PXAG">#REF!</definedName>
    <definedName name="PXAG_561">#REF!</definedName>
    <definedName name="PXAG_EAI">#REF!</definedName>
    <definedName name="PXAG_EGSI">#REF!</definedName>
    <definedName name="PXAG_ELI">#REF!</definedName>
    <definedName name="PXAG_EMI">#REF!</definedName>
    <definedName name="PXAG_ENOI">#REF!</definedName>
    <definedName name="PXAGBAD">#REF!</definedName>
    <definedName name="py_cent">#REF!</definedName>
    <definedName name="py_clint">#REF!</definedName>
    <definedName name="py_eec">#REF!</definedName>
    <definedName name="py_ei">#REF!</definedName>
    <definedName name="py_engl">#REF!</definedName>
    <definedName name="py_epc">#REF!</definedName>
    <definedName name="py_esc">#REF!</definedName>
    <definedName name="PYTX">#REF!</definedName>
    <definedName name="q" hidden="1">{"MATALL",#N/A,FALSE,"Sheet4";"matclass",#N/A,FALSE,"Sheet4"}</definedName>
    <definedName name="q_1" hidden="1">{#N/A,#N/A,FALSE,"BS_ESG ";#N/A,#N/A,FALSE,"P&amp;L_ESG"}</definedName>
    <definedName name="q_2" hidden="1">{#N/A,#N/A,FALSE,"BS_ESG ";#N/A,#N/A,FALSE,"P&amp;L_ESG"}</definedName>
    <definedName name="q_3" hidden="1">{#N/A,#N/A,FALSE,"BS_ESG ";#N/A,#N/A,FALSE,"P&amp;L_ESG"}</definedName>
    <definedName name="q_4" hidden="1">{#N/A,#N/A,FALSE,"BS_ESG ";#N/A,#N/A,FALSE,"P&amp;L_ESG"}</definedName>
    <definedName name="q_5" hidden="1">{#N/A,#N/A,FALSE,"BS_ESG ";#N/A,#N/A,FALSE,"P&amp;L_ESG"}</definedName>
    <definedName name="Q_EPS_Table">#REF!</definedName>
    <definedName name="q_MTEP06_App_AB_Facility">#REF!</definedName>
    <definedName name="q_MTEP06_App_AB_Projects">#REF!</definedName>
    <definedName name="Q2Fcst" hidden="1">{#N/A,#N/A,FALSE,"TOTFINAL";#N/A,#N/A,FALSE,"FINPLAN";#N/A,#N/A,FALSE,"TOTMOTADJ";#N/A,#N/A,FALSE,"tieEQ";#N/A,#N/A,FALSE,"G";#N/A,#N/A,FALSE,"ELIMS";#N/A,#N/A,FALSE,"NEXTEL ADJ";#N/A,#N/A,FALSE,"MIMS";#N/A,#N/A,FALSE,"LMPS";#N/A,#N/A,FALSE,"CNSS";#N/A,#N/A,FALSE,"CSS";#N/A,#N/A,FALSE,"MCG";#N/A,#N/A,FALSE,"AECS";#N/A,#N/A,FALSE,"SPS";#N/A,#N/A,FALSE,"CORP"}</definedName>
    <definedName name="qerw"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qq" hidden="1">{#N/A,#N/A,FALSE,"BS_ESG ";#N/A,#N/A,FALSE,"P&amp;L_ESG"}</definedName>
    <definedName name="QR"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qr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Qty_Cost_Select">#REF!</definedName>
    <definedName name="Quantities">#REF!</definedName>
    <definedName name="query">#REF!</definedName>
    <definedName name="queryp1">#REF!</definedName>
    <definedName name="qw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r.ref">#N/A</definedName>
    <definedName name="RA">#REF!</definedName>
    <definedName name="Rate_Case_Years">#REF!</definedName>
    <definedName name="Rate_Reduction">#N/A</definedName>
    <definedName name="Rate_Reduction_Yearly_Amount">#N/A</definedName>
    <definedName name="Rated">#N/A</definedName>
    <definedName name="Ratio_Analysis">#N/A</definedName>
    <definedName name="RawMtrlInfl">#N/A</definedName>
    <definedName name="RBN">#REF!</definedName>
    <definedName name="RBU">#REF!</definedName>
    <definedName name="Rd_Access_Lngth_TO">#REF!</definedName>
    <definedName name="Rd_Access_Width">#REF!</definedName>
    <definedName name="Rd_Access_Width_Restore">#REF!</definedName>
    <definedName name="Rd_Blasting">#REF!</definedName>
    <definedName name="Rd_Other_Lngth_TO">#REF!</definedName>
    <definedName name="Rd_Other_Width">#REF!</definedName>
    <definedName name="RD_PALLIATIVE">#REF!</definedName>
    <definedName name="Rd_PullOut_TO">#REF!</definedName>
    <definedName name="Rd_Service_Lngth_TO">#REF!</definedName>
    <definedName name="Rd_Service_Width">#REF!</definedName>
    <definedName name="Rd_Turnarounds_TO">#REF!</definedName>
    <definedName name="RD_WIDTHS">#REF!</definedName>
    <definedName name="RDVers">"2.10a"</definedName>
    <definedName name="Re">#REF!</definedName>
    <definedName name="read" hidden="1">{#N/A,#N/A,FALSE,"Hastax"}</definedName>
    <definedName name="Reading_Date">#REF!</definedName>
    <definedName name="RealizationPerGalDenbEthane">#REF!</definedName>
    <definedName name="RealizationPerGalDenbIsoButane">#REF!</definedName>
    <definedName name="RealizationPerGalDenbMethane">#REF!</definedName>
    <definedName name="RealizationPerGalDenbNorButane">#REF!</definedName>
    <definedName name="RealizationPerGalDenbPentanes">#REF!</definedName>
    <definedName name="RealizationPerGalDenbPropane">#REF!</definedName>
    <definedName name="RealizationPerGallonEthane">#REF!</definedName>
    <definedName name="RealizationPerGallonIsoButane">#REF!</definedName>
    <definedName name="RealizationPerGallonMethane">#REF!</definedName>
    <definedName name="RealizationPerGallonNormalButane">#REF!</definedName>
    <definedName name="RealizationPerGallonPentanesPlus">#REF!</definedName>
    <definedName name="RealizationPerGallonPropane">#REF!</definedName>
    <definedName name="RealizationPerGalXTXEthane">#REF!</definedName>
    <definedName name="RealizationPerGalXTXIsoButane">#REF!</definedName>
    <definedName name="RealizationPerGalXTXMethane">#REF!</definedName>
    <definedName name="RealizationPerGalXTXNormalButane">#REF!</definedName>
    <definedName name="RealizationPerGalXTXPentanesPlus">#REF!</definedName>
    <definedName name="RealizationPerGalXTXPropane">#REF!</definedName>
    <definedName name="RECAP">#REF!</definedName>
    <definedName name="_xlnm.Recorder">#REF!</definedName>
    <definedName name="recur_exp">#N/A</definedName>
    <definedName name="refco">#REF!</definedName>
    <definedName name="referenc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Refinanced_Debt_Rate">#N/A</definedName>
    <definedName name="Region">#REF!</definedName>
    <definedName name="Regulatory_RoR">#REF!</definedName>
    <definedName name="RELIABILITY">#N/A</definedName>
    <definedName name="RemAnnual">#REF!</definedName>
    <definedName name="RemittanceGoforth">#REF!</definedName>
    <definedName name="RemittanceNumber">#REF!</definedName>
    <definedName name="rename" hidden="1">{#N/A,#N/A,FALSE,"Aging Summary";#N/A,#N/A,FALSE,"Ratio Analysis";#N/A,#N/A,FALSE,"Test 120 Day Accts";#N/A,#N/A,FALSE,"Tickmarks"}</definedName>
    <definedName name="Replacement_Rate">#REF!</definedName>
    <definedName name="REPLKW">#N/A</definedName>
    <definedName name="ReportGroup" hidden="1">0</definedName>
    <definedName name="Request">#REF!</definedName>
    <definedName name="RequestType">#REF!</definedName>
    <definedName name="Required_Amort_Hardcode">#REF!</definedName>
    <definedName name="rer"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rer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RES_CPB">#REF!</definedName>
    <definedName name="RESERVE_INT">#N/A</definedName>
    <definedName name="resid_hand">#N/A</definedName>
    <definedName name="Resp_Civil_01">#REF!</definedName>
    <definedName name="Resp_Civil_03">#REF!</definedName>
    <definedName name="Resp_Civil_04">#REF!</definedName>
    <definedName name="Resp_Civil_05">#REF!</definedName>
    <definedName name="Resp_Civil_06">#REF!</definedName>
    <definedName name="Resp_Elec_01">#REF!</definedName>
    <definedName name="Resp_Elec_02">#REF!</definedName>
    <definedName name="Resp_SubS_01">#REF!</definedName>
    <definedName name="Resp_SubS_02">#REF!</definedName>
    <definedName name="restruct_tog">#N/A</definedName>
    <definedName name="Result">#N/A</definedName>
    <definedName name="Results_Graphs">#REF!</definedName>
    <definedName name="Return_Calculation">#N/A</definedName>
    <definedName name="Return_Schedule">#N/A</definedName>
    <definedName name="rev" hidden="1">{#N/A,#N/A,FALSE,"Ratios - Classic";#N/A,#N/A,FALSE,"Share Proof - Classic";#N/A,#N/A,FALSE,"Per Share-Classic"}</definedName>
    <definedName name="Rev_Cost">#REF!</definedName>
    <definedName name="Rev_KW">#REF!</definedName>
    <definedName name="rev_option">#N/A</definedName>
    <definedName name="Rev_Range">#REF!</definedName>
    <definedName name="Rev_Tax">#REF!</definedName>
    <definedName name="Revenue">#REF!</definedName>
    <definedName name="REVIEW_DATES">#REF!</definedName>
    <definedName name="Revolver_Rate">#N/A</definedName>
    <definedName name="revreq">#REF!</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G">#N/A</definedName>
    <definedName name="RG_2">#N/A</definedName>
    <definedName name="rggfgrt" hidden="1">{"a",#N/A,FALSE,"Fact Sheet";"a",#N/A,FALSE,"DCFEVA";"a",#N/A,FALSE,"Statements";"a",#N/A,FALSE,"Quarterly";"a",#N/A,FALSE,"Q Grid";"a",#N/A,FALSE,"Stockval";"a",#N/A,FALSE,"DDM"}</definedName>
    <definedName name="RID">#REF!</definedName>
    <definedName name="right">OFFSET(!A1,0,1)</definedName>
    <definedName name="RiskAfterRecalcMacro">"Maximize_Cap_Structure"</definedName>
    <definedName name="RiskCollectDistributionSamples">2</definedName>
    <definedName name="RiskDet">TRUE</definedName>
    <definedName name="RiskFixedSeed">1</definedName>
    <definedName name="RiskHasSettings">TRUE</definedName>
    <definedName name="RiskMinimizeOnStart">FALSE</definedName>
    <definedName name="RiskMonitorConvergence">TRUE</definedName>
    <definedName name="RiskNumIterations">1000</definedName>
    <definedName name="RiskNumSimulations">7</definedName>
    <definedName name="RiskPauseOnError">FALSE</definedName>
    <definedName name="RiskRealTimeResults">TRUE</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StatFunctionsUpdateFreq">10</definedName>
    <definedName name="RiskUpdateDisplay">TRUE</definedName>
    <definedName name="RiskUpdateStatFunctions">TRUE</definedName>
    <definedName name="RiskUseDifferentSeedForEachSim">FALSE</definedName>
    <definedName name="RiskUseFixedSeed">FALSE</definedName>
    <definedName name="rita" hidden="1">{#N/A,#N/A,TRUE,"TOTAL DISTRIBUTION";#N/A,#N/A,TRUE,"SOUTH";#N/A,#N/A,TRUE,"NORTHEAST";#N/A,#N/A,TRUE,"WEST"}</definedName>
    <definedName name="rmcAccount">96050</definedName>
    <definedName name="rmcApplication">"MOTO"</definedName>
    <definedName name="rmcCategory">"PFCST"</definedName>
    <definedName name="rmcFrequency">"MON"</definedName>
    <definedName name="rmcName">"R0P014"</definedName>
    <definedName name="RMCOptions">"*000000000000000"</definedName>
    <definedName name="rmcPeriod">9609</definedName>
    <definedName name="rngEscalation">#REF!</definedName>
    <definedName name="Road_Soil">#REF!</definedName>
    <definedName name="Robson"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ROE">#REF!</definedName>
    <definedName name="Rothesay">#REF!</definedName>
    <definedName name="Rotor">#REF!</definedName>
    <definedName name="Rounding" hidden="1">#REF!</definedName>
    <definedName name="rr"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RRE">#REF!</definedName>
    <definedName name="rrr" hidden="1">{#N/A,#N/A,FALSE,"INPUTDATA";#N/A,#N/A,FALSE,"SUMMARY"}</definedName>
    <definedName name="rrrr" localSheetId="15" hidden="1">{#N/A,#N/A,FALSE,"O&amp;M by processes";#N/A,#N/A,FALSE,"Elec Act vs Bud";#N/A,#N/A,FALSE,"G&amp;A";#N/A,#N/A,FALSE,"BGS";#N/A,#N/A,FALSE,"Res Cost"}</definedName>
    <definedName name="rrrr" localSheetId="25" hidden="1">{#N/A,#N/A,FALSE,"O&amp;M by processes";#N/A,#N/A,FALSE,"Elec Act vs Bud";#N/A,#N/A,FALSE,"G&amp;A";#N/A,#N/A,FALSE,"BGS";#N/A,#N/A,FALSE,"Res Cost"}</definedName>
    <definedName name="rrrr" localSheetId="26" hidden="1">{#N/A,#N/A,FALSE,"O&amp;M by processes";#N/A,#N/A,FALSE,"Elec Act vs Bud";#N/A,#N/A,FALSE,"G&amp;A";#N/A,#N/A,FALSE,"BGS";#N/A,#N/A,FALSE,"Res Cost"}</definedName>
    <definedName name="rrrr" hidden="1">{#N/A,#N/A,FALSE,"O&amp;M by processes";#N/A,#N/A,FALSE,"Elec Act vs Bud";#N/A,#N/A,FALSE,"G&amp;A";#N/A,#N/A,FALSE,"BGS";#N/A,#N/A,FALSE,"Res Cost"}</definedName>
    <definedName name="RTNS2">#N/A</definedName>
    <definedName name="RTX">#REF!</definedName>
    <definedName name="rtyertye" hidden="1">{TRUE,TRUE,-1.25,-15.5,604.5,343.5,FALSE,FALSE,TRUE,TRUE,0,1,5,1,5,1,4,4,TRUE,TRUE,3,TRUE,1,TRUE,80,"Swvu.qtr._.earnings._.model.","ACwvu.qtr._.earnings._.model.",#N/A,FALSE,FALSE,0.65,0.5,1.25,1,2,"","",TRUE,FALSE,FALSE,FALSE,1,#N/A,1,1,"=R1C1:R36C16",FALSE,#N/A,#N/A,FALSE,FALSE,FALSE,1,#N/A,#N/A,FALSE,FALSE,TRUE,TRUE,TRUE}</definedName>
    <definedName name="rtyertyreyt" hidden="1">{TRUE,TRUE,-1.25,-15.5,604.5,343.5,FALSE,FALSE,TRUE,TRUE,0,1,#N/A,1,35,14.1666666666667,3,3,FALSE,TRUE,3,TRUE,1,TRUE,85,"Swvu.oil._.and._.gas._.details.","ACwvu.oil._.and._.gas._.details.",#N/A,FALSE,FALSE,0.75,0.75,1,1,1,"","",TRUE,FALSE,FALSE,FALSE,1,#N/A,1,1,"=R1C1:R59C11","=R1:R3",#N/A,#N/A,FALSE,FALSE,FALSE,1,#N/A,#N/A,FALSE,FALSE,TRUE,TRUE,TRUE}</definedName>
    <definedName name="RU">#REF!</definedName>
    <definedName name="running_irr">#REF!</definedName>
    <definedName name="running_npv">#REF!</definedName>
    <definedName name="Rwvu.Earnings." hidden="1">#REF!</definedName>
    <definedName name="Rwvu.Qtr._.Earnings._.Model." hidden="1">#REF!</definedName>
    <definedName name="Rwvu.Table." hidden="1">#REF!,#REF!,#REF!,#REF!,#REF!</definedName>
    <definedName name="RXRPark">#REF!</definedName>
    <definedName name="s" hidden="1">#REF!</definedName>
    <definedName name="S_1"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S_2"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S_3"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S_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S_5"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Sales2" hidden="1">{"'Highlights'!$A$1:$M$123"}</definedName>
    <definedName name="saletype">#N/A</definedName>
    <definedName name="sam" hidden="1">{#N/A,#N/A,FALSE,"Ratios - Classic";#N/A,#N/A,FALSE,"Share Proof - Classic";#N/A,#N/A,FALSE,"Per Share-Classic"}</definedName>
    <definedName name="SAPBEXdnldView" hidden="1">"4FF00RAMDPJZ88O2AGW5D406R"</definedName>
    <definedName name="SAPBEXhrIndnt">1</definedName>
    <definedName name="SAPBEXrevision" hidden="1">1</definedName>
    <definedName name="SAPBEXsysID" hidden="1">"BWP"</definedName>
    <definedName name="SAPBEXwbID" hidden="1">"3KKFFT2OE3M09AA9DMJ9WPQ2U"</definedName>
    <definedName name="SAPsysID" hidden="1">"708C5W7SBKP804JT78WJ0JNKI"</definedName>
    <definedName name="SAPwbID" hidden="1">"ARS"</definedName>
    <definedName name="SaveNewFile">#N/A</definedName>
    <definedName name="SCADA_OPTION">#REF!</definedName>
    <definedName name="scen">#REF!</definedName>
    <definedName name="SCR">#N/A</definedName>
    <definedName name="sd" hidden="1">#REF!</definedName>
    <definedName name="SDF" hidden="1">{TRUE,TRUE,-1.25,-15.5,604.5,343.5,FALSE,FALSE,TRUE,TRUE,0,1,#N/A,1,35,14.1666666666667,3,3,FALSE,TRUE,3,TRUE,1,TRUE,85,"Swvu.oil._.and._.gas._.details.","ACwvu.oil._.and._.gas._.details.",#N/A,FALSE,FALSE,0.75,0.75,1,1,1,"","",TRUE,FALSE,FALSE,FALSE,1,#N/A,1,1,"=R1C1:R59C11","=R1:R3",#N/A,#N/A,FALSE,FALSE,FALSE,1,#N/A,#N/A,FALSE,FALSE,TRUE,TRUE,TRUE}</definedName>
    <definedName name="sdf_qww" hidden="1">table_demob</definedName>
    <definedName name="sdfsdf" hidden="1">{#N/A,#N/A,FALSE,"Cover";#N/A,#N/A,FALSE,"Commentary";#N/A,#N/A,FALSE,"key ind";#N/A,#N/A,FALSE,"CIG RSB";#N/A,#N/A,FALSE,"Q1 Markets";#N/A,#N/A,FALSE,"Annual Mkts";#N/A,#N/A,FALSE,"Q1 Products";#N/A,#N/A,FALSE,"Annual Products";#N/A,#N/A,FALSE,"SMUG";#N/A,#N/A,FALSE,"IDL Budgets";#N/A,#N/A,FALSE,"HC Trend";#N/A,#N/A,FALSE,"Functional HC ";#N/A,#N/A,FALSE,"Capital Expd";#N/A,#N/A,FALSE,"Capital CO"}</definedName>
    <definedName name="SECUR_GI">#REF!</definedName>
    <definedName name="SECUR_IS">#REF!</definedName>
    <definedName name="SECUR_KR">#REF!</definedName>
    <definedName name="sedfsd">#REF!</definedName>
    <definedName name="Seismic">#REF!</definedName>
    <definedName name="SEISMIC_REFRACTION_TEST">#REF!</definedName>
    <definedName name="SELECT">#N/A</definedName>
    <definedName name="Sell_International_Assets">#N/A</definedName>
    <definedName name="Sell_Trading_Assets">#N/A</definedName>
    <definedName name="SEN">#N/A</definedName>
    <definedName name="sencount" hidden="1">1</definedName>
    <definedName name="SENS">#N/A</definedName>
    <definedName name="Sensitivity">#REF!</definedName>
    <definedName name="sep"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Service_Metered">#REF!</definedName>
    <definedName name="set_of_books_id_valid_values">#REF!</definedName>
    <definedName name="Settlement">#REF!</definedName>
    <definedName name="SEVEN">#N/A</definedName>
    <definedName name="SEVILLE">#REF!</definedName>
    <definedName name="sfdsf"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sfgasd" hidden="1">{0,0,0,0;0,0,0,0;0,0,0,0;0,0,0,0;0,0,0,0;0,0,0,0;0,0,2,0;2,3,3,0;FALSE,FALSE,FALSE,FALSE;TRUE,FALSE,TRUE,TRUE;FALSE,FALSE,TRUE,TRUE;FALSE,0,2.78134444564786E-308,4.45015196281921E-308;7.78776275135711E-308,1.33504516457612E-307,2.22507555776164E-307,3.56012157274209E-307}</definedName>
    <definedName name="sfgsfgsdfg" hidden="1">{#N/A,#N/A,FALSE,"Aging Summary";#N/A,#N/A,FALSE,"Ratio Analysis";#N/A,#N/A,FALSE,"Test 120 Day Accts";#N/A,#N/A,FALSE,"Tickmarks"}</definedName>
    <definedName name="shelly" hidden="1">{#N/A,#N/A,FALSE,"TOTFINAL";#N/A,#N/A,FALSE,"FINPLAN";#N/A,#N/A,FALSE,"TOTMOTADJ";#N/A,#N/A,FALSE,"tieEQ";#N/A,#N/A,FALSE,"G";#N/A,#N/A,FALSE,"ELIMS";#N/A,#N/A,FALSE,"NEXTEL ADJ";#N/A,#N/A,FALSE,"MIMS";#N/A,#N/A,FALSE,"LMPS";#N/A,#N/A,FALSE,"CNSS";#N/A,#N/A,FALSE,"CSS";#N/A,#N/A,FALSE,"MCG";#N/A,#N/A,FALSE,"AECS";#N/A,#N/A,FALSE,"SPS";#N/A,#N/A,FALSE,"CORP"}</definedName>
    <definedName name="Ship2013">#REF!</definedName>
    <definedName name="Ship2014">#REF!</definedName>
    <definedName name="Ship2015">#REF!</definedName>
    <definedName name="shiva" localSheetId="15" hidden="1">{#N/A,#N/A,FALSE,"O&amp;M by processes";#N/A,#N/A,FALSE,"Elec Act vs Bud";#N/A,#N/A,FALSE,"G&amp;A";#N/A,#N/A,FALSE,"BGS";#N/A,#N/A,FALSE,"Res Cost"}</definedName>
    <definedName name="shiva" localSheetId="25" hidden="1">{#N/A,#N/A,FALSE,"O&amp;M by processes";#N/A,#N/A,FALSE,"Elec Act vs Bud";#N/A,#N/A,FALSE,"G&amp;A";#N/A,#N/A,FALSE,"BGS";#N/A,#N/A,FALSE,"Res Cost"}</definedName>
    <definedName name="shiva" localSheetId="26" hidden="1">{#N/A,#N/A,FALSE,"O&amp;M by processes";#N/A,#N/A,FALSE,"Elec Act vs Bud";#N/A,#N/A,FALSE,"G&amp;A";#N/A,#N/A,FALSE,"BGS";#N/A,#N/A,FALSE,"Res Cost"}</definedName>
    <definedName name="shiva" hidden="1">{#N/A,#N/A,FALSE,"O&amp;M by processes";#N/A,#N/A,FALSE,"Elec Act vs Bud";#N/A,#N/A,FALSE,"G&amp;A";#N/A,#N/A,FALSE,"BGS";#N/A,#N/A,FALSE,"Res Cost"}</definedName>
    <definedName name="SHORTFALL_KW">#N/A</definedName>
    <definedName name="ShrinkageMcfEthane">#REF!</definedName>
    <definedName name="ShrinkageMcfIsoButane">#REF!</definedName>
    <definedName name="ShrinkageMcfNormalButane">#REF!</definedName>
    <definedName name="ShrinkageMcfPentanesPlus">#REF!</definedName>
    <definedName name="ShrinkageMcfPropane">#REF!</definedName>
    <definedName name="ShrinkageMmbtuEthane">#REF!</definedName>
    <definedName name="ShrinkageMmbtuIsoButane">#REF!</definedName>
    <definedName name="ShrinkageMmbtuNormalButane">#REF!</definedName>
    <definedName name="ShrinkageMmbtuPentanesPlus">#REF!</definedName>
    <definedName name="ShrinkageMmbtuPropane">#REF!</definedName>
    <definedName name="simoutaneous">#REF!</definedName>
    <definedName name="Site_Caliche">#REF!</definedName>
    <definedName name="Site_Gravel">#REF!</definedName>
    <definedName name="Sites" hidden="1">{#N/A,#N/A,TRUE,"TOTAL DISTRIBUTION";#N/A,#N/A,TRUE,"SOUTH";#N/A,#N/A,TRUE,"NORTHEAST";#N/A,#N/A,TRUE,"WEST"}</definedName>
    <definedName name="Sitesdate" hidden="1">{#N/A,#N/A,TRUE,"TOTAL DSBN";#N/A,#N/A,TRUE,"WEST";#N/A,#N/A,TRUE,"SOUTH";#N/A,#N/A,TRUE,"NORTHEAST"}</definedName>
    <definedName name="SIX">#N/A</definedName>
    <definedName name="SizingColumn">#REF!</definedName>
    <definedName name="SOF">#N/A</definedName>
    <definedName name="Soil">#REF!</definedName>
    <definedName name="SoilType">#REF!</definedName>
    <definedName name="solver_adj" localSheetId="5" hidden="1">'2b - Cost Support'!$D$14</definedName>
    <definedName name="solver_adj" hidden="1">#REF!</definedName>
    <definedName name="solver_cvg" localSheetId="5" hidden="1">0.0001</definedName>
    <definedName name="solver_cvg" hidden="1">0.001</definedName>
    <definedName name="solver_drv" localSheetId="5" hidden="1">2</definedName>
    <definedName name="solver_drv" hidden="1">1</definedName>
    <definedName name="solver_eng" localSheetId="5" hidden="1">1</definedName>
    <definedName name="solver_est" localSheetId="5" hidden="1">1</definedName>
    <definedName name="solver_est" hidden="1">1</definedName>
    <definedName name="solver_itr" localSheetId="5" hidden="1">2147483647</definedName>
    <definedName name="solver_itr" hidden="1">100</definedName>
    <definedName name="solver_lhs1" hidden="1">#REF!</definedName>
    <definedName name="solver_lhs2" hidden="1">#REF!</definedName>
    <definedName name="solver_lin" hidden="1">0</definedName>
    <definedName name="solver_mip" localSheetId="5" hidden="1">2147483647</definedName>
    <definedName name="solver_mni" localSheetId="5" hidden="1">30</definedName>
    <definedName name="solver_mrt" localSheetId="5" hidden="1">0.075</definedName>
    <definedName name="solver_msl" localSheetId="5" hidden="1">2</definedName>
    <definedName name="solver_neg" localSheetId="5" hidden="1">1</definedName>
    <definedName name="solver_neg" hidden="1">2</definedName>
    <definedName name="solver_nod" localSheetId="5" hidden="1">2147483647</definedName>
    <definedName name="solver_num" localSheetId="5" hidden="1">0</definedName>
    <definedName name="solver_num" hidden="1">2</definedName>
    <definedName name="solver_nwt" localSheetId="5" hidden="1">1</definedName>
    <definedName name="solver_nwt" hidden="1">1</definedName>
    <definedName name="solver_opt" localSheetId="5" hidden="1">'2b - Cost Support'!$S$25</definedName>
    <definedName name="solver_opt" hidden="1">#REF!</definedName>
    <definedName name="solver_pre" localSheetId="5" hidden="1">0.000001</definedName>
    <definedName name="solver_pre" hidden="1">0.000001</definedName>
    <definedName name="solver_rbv" localSheetId="5" hidden="1">2</definedName>
    <definedName name="solver_rel1" hidden="1">1</definedName>
    <definedName name="solver_rel2" hidden="1">3</definedName>
    <definedName name="solver_rhs1" hidden="1">50</definedName>
    <definedName name="solver_rhs2" hidden="1">0</definedName>
    <definedName name="solver_rlx" localSheetId="5" hidden="1">2</definedName>
    <definedName name="solver_rsd" localSheetId="5" hidden="1">0</definedName>
    <definedName name="solver_scl" localSheetId="5" hidden="1">2</definedName>
    <definedName name="solver_scl" hidden="1">0</definedName>
    <definedName name="solver_sho" localSheetId="5" hidden="1">2</definedName>
    <definedName name="solver_sho" hidden="1">0</definedName>
    <definedName name="solver_ssz" localSheetId="5" hidden="1">100</definedName>
    <definedName name="solver_tim" localSheetId="5" hidden="1">2147483647</definedName>
    <definedName name="solver_tim" hidden="1">100</definedName>
    <definedName name="solver_tmp" hidden="1">0</definedName>
    <definedName name="solver_tol" localSheetId="5" hidden="1">0.01</definedName>
    <definedName name="solver_tol" hidden="1">0.05</definedName>
    <definedName name="solver_typ" localSheetId="5" hidden="1">3</definedName>
    <definedName name="solver_typ" hidden="1">3</definedName>
    <definedName name="solver_val" localSheetId="5" hidden="1">0.6</definedName>
    <definedName name="solver_val" hidden="1">10.9</definedName>
    <definedName name="solver_ver" localSheetId="5" hidden="1">3</definedName>
    <definedName name="SORT">#N/A</definedName>
    <definedName name="SOUTH_VIENNA">#REF!</definedName>
    <definedName name="SOV_Cost_CC_Cont_Total">#REF!</definedName>
    <definedName name="SOV_Cost_Civil_Othr_Total">#REF!</definedName>
    <definedName name="SOV_Cost_Construction_Total">#REF!</definedName>
    <definedName name="SOV_Cost_Cont_MA_Total">#REF!</definedName>
    <definedName name="SOV_Cost_Fnds_Total">#REF!</definedName>
    <definedName name="SOV_Cost_Misc_Const_Total">#REF!</definedName>
    <definedName name="SOV_Cost_Rds_Total">#REF!</definedName>
    <definedName name="SOV_Cost_Sub_Cont_Total">#REF!</definedName>
    <definedName name="SOV_Cost_WTG_Erec_Total">#REF!</definedName>
    <definedName name="SOV_Project_Total">#REF!</definedName>
    <definedName name="SOV_TLine_Matl_Total">#REF!</definedName>
    <definedName name="SPACE">#N/A</definedName>
    <definedName name="SPARES_ST_TAX">#N/A</definedName>
    <definedName name="spcompany">#N/A</definedName>
    <definedName name="spffo">#N/A</definedName>
    <definedName name="spffo2">#N/A</definedName>
    <definedName name="spffo3">#N/A</definedName>
    <definedName name="spffo4\">#N/A</definedName>
    <definedName name="spffo5">#N/A</definedName>
    <definedName name="spname2">#N/A</definedName>
    <definedName name="spname3">#N/A</definedName>
    <definedName name="spname4">#N/A</definedName>
    <definedName name="spname6">#N/A</definedName>
    <definedName name="spop1">#N/A</definedName>
    <definedName name="spop2">#N/A</definedName>
    <definedName name="spop3">#N/A</definedName>
    <definedName name="spop4">#N/A</definedName>
    <definedName name="Spot_Purchases_and_Tailgate">#REF!</definedName>
    <definedName name="SPOTE_04">#REF!</definedName>
    <definedName name="SpringCastle">#REF!</definedName>
    <definedName name="SPS_COS">#REF!</definedName>
    <definedName name="SPWS_WBID">"6770D16C-B453-4883-9736-E9CCF832AEC8"</definedName>
    <definedName name="SR">#N/A</definedName>
    <definedName name="SR_2">#N/A</definedName>
    <definedName name="SSDD" hidden="1">#REF!</definedName>
    <definedName name="sss"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sss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sss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sss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sss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sss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ssss" hidden="1">{TRUE,TRUE,-1.25,-15.5,484.5,279.75,FALSE,FALSE,TRUE,TRUE,0,3,#N/A,1,#N/A,6.54545454545454,15.55,1,FALSE,FALSE,3,TRUE,1,FALSE,100,"Swvu.WP1.","ACwvu.WP1.",1,FALSE,FALSE,0.25,0.25,0.25,0.25,1,"","&amp;L&amp;D &amp;T NBW&amp;C&amp;P&amp;R&amp;F",FALSE,FALSE,FALSE,FALSE,1,100,#N/A,#N/A,FALSE,FALSE,#N/A,#N/A,FALSE,FALSE}</definedName>
    <definedName name="START">#REF!</definedName>
    <definedName name="START1">#N/A</definedName>
    <definedName name="STARTCR">#REF!</definedName>
    <definedName name="STARTDR">#REF!</definedName>
    <definedName name="Startup.Quarter">#N/A</definedName>
    <definedName name="State">#REF!</definedName>
    <definedName name="State_Impacts_GenTie">#REF!</definedName>
    <definedName name="State_Special">#REF!</definedName>
    <definedName name="StateAB">#REF!</definedName>
    <definedName name="Statelist">#REF!</definedName>
    <definedName name="StatementDate">#REF!</definedName>
    <definedName name="statsrevised" localSheetId="15" hidden="1">{#N/A,#N/A,FALSE,"O&amp;M by processes";#N/A,#N/A,FALSE,"Elec Act vs Bud";#N/A,#N/A,FALSE,"G&amp;A";#N/A,#N/A,FALSE,"BGS";#N/A,#N/A,FALSE,"Res Cost"}</definedName>
    <definedName name="statsrevised" localSheetId="25" hidden="1">{#N/A,#N/A,FALSE,"O&amp;M by processes";#N/A,#N/A,FALSE,"Elec Act vs Bud";#N/A,#N/A,FALSE,"G&amp;A";#N/A,#N/A,FALSE,"BGS";#N/A,#N/A,FALSE,"Res Cost"}</definedName>
    <definedName name="statsrevised" localSheetId="26" hidden="1">{#N/A,#N/A,FALSE,"O&amp;M by processes";#N/A,#N/A,FALSE,"Elec Act vs Bud";#N/A,#N/A,FALSE,"G&amp;A";#N/A,#N/A,FALSE,"BGS";#N/A,#N/A,FALSE,"Res Cost"}</definedName>
    <definedName name="statsrevised" hidden="1">{#N/A,#N/A,FALSE,"O&amp;M by processes";#N/A,#N/A,FALSE,"Elec Act vs Bud";#N/A,#N/A,FALSE,"G&amp;A";#N/A,#N/A,FALSE,"BGS";#N/A,#N/A,FALSE,"Res Cost"}</definedName>
    <definedName name="Status">#REF!</definedName>
    <definedName name="stck" hidden="1">{"Saldenliste",#N/A,FALSE,"H A Ü"}</definedName>
    <definedName name="steam_prod">#N/A</definedName>
    <definedName name="Steel_Bulks_HV">#REF!</definedName>
    <definedName name="Steel_Bulks_LV">#REF!</definedName>
    <definedName name="STG">#N/A</definedName>
    <definedName name="STILL1040">#REF!</definedName>
    <definedName name="STPOWER">#N/A</definedName>
    <definedName name="Strings">#REF!</definedName>
    <definedName name="Structures_Improvements">#REF!+#REF!</definedName>
    <definedName name="stuff" hidden="1">#REF!</definedName>
    <definedName name="Subcontract">#REF!</definedName>
    <definedName name="submit"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SubS_Count">#REF!</definedName>
    <definedName name="SUBTITLE">#N/A</definedName>
    <definedName name="SUE" hidden="1">{#N/A,#N/A,TRUE,"TOTAL DISTRIBUTION";#N/A,#N/A,TRUE,"SOUTH";#N/A,#N/A,TRUE,"NORTHEAST";#N/A,#N/A,TRUE,"WEST"}</definedName>
    <definedName name="SUMMARY">#REF!</definedName>
    <definedName name="SUPFUEL">#N/A</definedName>
    <definedName name="support" localSheetId="15" hidden="1">{#N/A,#N/A,FALSE,"O&amp;M by processes";#N/A,#N/A,FALSE,"Elec Act vs Bud";#N/A,#N/A,FALSE,"G&amp;A";#N/A,#N/A,FALSE,"BGS";#N/A,#N/A,FALSE,"Res Cost"}</definedName>
    <definedName name="support" localSheetId="25" hidden="1">{#N/A,#N/A,FALSE,"O&amp;M by processes";#N/A,#N/A,FALSE,"Elec Act vs Bud";#N/A,#N/A,FALSE,"G&amp;A";#N/A,#N/A,FALSE,"BGS";#N/A,#N/A,FALSE,"Res Cost"}</definedName>
    <definedName name="support" localSheetId="26" hidden="1">{#N/A,#N/A,FALSE,"O&amp;M by processes";#N/A,#N/A,FALSE,"Elec Act vs Bud";#N/A,#N/A,FALSE,"G&amp;A";#N/A,#N/A,FALSE,"BGS";#N/A,#N/A,FALSE,"Res Cost"}</definedName>
    <definedName name="support" hidden="1">{#N/A,#N/A,FALSE,"O&amp;M by processes";#N/A,#N/A,FALSE,"Elec Act vs Bud";#N/A,#N/A,FALSE,"G&amp;A";#N/A,#N/A,FALSE,"BGS";#N/A,#N/A,FALSE,"Res Cost"}</definedName>
    <definedName name="supporti" localSheetId="15" hidden="1">{#N/A,#N/A,FALSE,"O&amp;M by processes";#N/A,#N/A,FALSE,"Elec Act vs Bud";#N/A,#N/A,FALSE,"G&amp;A";#N/A,#N/A,FALSE,"BGS";#N/A,#N/A,FALSE,"Res Cost"}</definedName>
    <definedName name="supporti" localSheetId="25" hidden="1">{#N/A,#N/A,FALSE,"O&amp;M by processes";#N/A,#N/A,FALSE,"Elec Act vs Bud";#N/A,#N/A,FALSE,"G&amp;A";#N/A,#N/A,FALSE,"BGS";#N/A,#N/A,FALSE,"Res Cost"}</definedName>
    <definedName name="supporti" localSheetId="26" hidden="1">{#N/A,#N/A,FALSE,"O&amp;M by processes";#N/A,#N/A,FALSE,"Elec Act vs Bud";#N/A,#N/A,FALSE,"G&amp;A";#N/A,#N/A,FALSE,"BGS";#N/A,#N/A,FALSE,"Res Cost"}</definedName>
    <definedName name="supporti" hidden="1">{#N/A,#N/A,FALSE,"O&amp;M by processes";#N/A,#N/A,FALSE,"Elec Act vs Bud";#N/A,#N/A,FALSE,"G&amp;A";#N/A,#N/A,FALSE,"BGS";#N/A,#N/A,FALSE,"Res Cost"}</definedName>
    <definedName name="SUPPORTING_DATA_TO_UPLOAD">#REF!</definedName>
    <definedName name="surplus_pct">#REF!</definedName>
    <definedName name="surplus_point">#REF!</definedName>
    <definedName name="suz">#REF!</definedName>
    <definedName name="svc_costs">#N/A</definedName>
    <definedName name="SVP">#REF!</definedName>
    <definedName name="Swap_Amort">#REF!</definedName>
    <definedName name="Switchyard">#REF!</definedName>
    <definedName name="Swvu.earnings." hidden="1">#REF!</definedName>
    <definedName name="Swvu.OP." hidden="1">#REF!</definedName>
    <definedName name="Synergy">#N/A</definedName>
    <definedName name="T5_AMORT">#N/A</definedName>
    <definedName name="T5_COMFEE">#N/A</definedName>
    <definedName name="T5_DEBT">#N/A</definedName>
    <definedName name="T5_FINCFEE">#N/A</definedName>
    <definedName name="T5_GP">#N/A</definedName>
    <definedName name="T5_RATE">#N/A</definedName>
    <definedName name="T5_TERM">#N/A</definedName>
    <definedName name="Table_of_Contents">#N/A</definedName>
    <definedName name="TABLE4_1">#REF!</definedName>
    <definedName name="TABLE4_2">#REF!</definedName>
    <definedName name="TableHeader">#REF!</definedName>
    <definedName name="TableName">"Dummy"</definedName>
    <definedName name="Tacx_Factor">#REF!</definedName>
    <definedName name="take" hidden="1">{#N/A,#N/A,FALSE,"Input Data Sheet";#N/A,#N/A,FALSE,"Turnover";#N/A,#N/A,FALSE,"NSAR";#N/A,#N/A,FALSE,"Ratios-HUB";#N/A,#N/A,FALSE,"Capital Roll - Hub"}</definedName>
    <definedName name="TandF">#REF!</definedName>
    <definedName name="TandFHeading">#REF!</definedName>
    <definedName name="Tangent_Type">#REF!</definedName>
    <definedName name="Target_List">#REF!</definedName>
    <definedName name="target1">#REF!</definedName>
    <definedName name="target2">#REF!</definedName>
    <definedName name="target3">#REF!</definedName>
    <definedName name="target4">#REF!</definedName>
    <definedName name="target5">#REF!</definedName>
    <definedName name="target6">#REF!</definedName>
    <definedName name="TARIFF4">#N/A</definedName>
    <definedName name="TARIFF5">#N/A</definedName>
    <definedName name="TARIFF6">#N/A</definedName>
    <definedName name="TAX">0.0825</definedName>
    <definedName name="Tax_Adjustment">#REF!</definedName>
    <definedName name="tax_base_on_inc">#REF!</definedName>
    <definedName name="tax_basis">#REF!</definedName>
    <definedName name="Tax_Calculation">#N/A</definedName>
    <definedName name="Tax_Effective">#REF!</definedName>
    <definedName name="Tax_Exempt_Rate">#REF!</definedName>
    <definedName name="Tax_Rate">#N/A</definedName>
    <definedName name="taxcalc">#REF!</definedName>
    <definedName name="TaxDep">#REF!</definedName>
    <definedName name="TaxEq_Return">#N/A</definedName>
    <definedName name="TaxEq_target">#N/A</definedName>
    <definedName name="TaxEquity">#REF!</definedName>
    <definedName name="TAXES">#N/A</definedName>
    <definedName name="Taxes____000">#N/A</definedName>
    <definedName name="TaxRate">#N/A</definedName>
    <definedName name="TaxTV">10%</definedName>
    <definedName name="TaxXL">5%</definedName>
    <definedName name="tblLegacy_Org_to_WBS_Suffix">#REF!</definedName>
    <definedName name="tblLegacy_to_NEET">#REF!</definedName>
    <definedName name="TCECAcquisition">#REF!</definedName>
    <definedName name="TCOS_Year">#REF!</definedName>
    <definedName name="TDR_ITC">#REF!</definedName>
    <definedName name="TDR_TD">#REF!</definedName>
    <definedName name="TDRXS">#REF!</definedName>
    <definedName name="TDX">#REF!</definedName>
    <definedName name="TDX_TD">#REF!</definedName>
    <definedName name="teagdz" hidden="1">{"Factsheet",#N/A,FALSE,"Fact";"Earnings",#N/A,FALSE,"Earnings";"BalanceSheet",#N/A,FALSE,"BalanceSheet";"Change in Cash",#N/A,FALSE,"CashFlow"}</definedName>
    <definedName name="teast" hidden="1">{#N/A,#N/A,TRUE,"TOTAL DSBN";#N/A,#N/A,TRUE,"WEST";#N/A,#N/A,TRUE,"SOUTH";#N/A,#N/A,TRUE,"NORTHEAST"}</definedName>
    <definedName name="tec_op_fee">#N/A</definedName>
    <definedName name="tecotaxmeth">#N/A</definedName>
    <definedName name="tedebt_reduct">#N/A</definedName>
    <definedName name="Tel" hidden="1">#REF!</definedName>
    <definedName name="TEN">#N/A</definedName>
    <definedName name="TEO">#REF!</definedName>
    <definedName name="teo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o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o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o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o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Q">#REF!</definedName>
    <definedName name="TERM">#N/A</definedName>
    <definedName name="term7">#REF!</definedName>
    <definedName name="Terrain">#REF!</definedName>
    <definedName name="tes"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ss"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tessss"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 hidden="1">{#N/A,#N/A,TRUE,"TOTAL DISTRIBUTION";#N/A,#N/A,TRUE,"SOUTH";#N/A,#N/A,TRUE,"NORTHEAST";#N/A,#N/A,TRUE,"WEST"}</definedName>
    <definedName name="TEST0">#REF!</definedName>
    <definedName name="TEST1">#REF!</definedName>
    <definedName name="TEST10">#REF!</definedName>
    <definedName name="TEST11">#REF!</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17">#REF!</definedName>
    <definedName name="TEST18">#REF!</definedName>
    <definedName name="TEST19">#REF!</definedName>
    <definedName name="test2" hidden="1">{#N/A,#N/A,TRUE,"TOTAL DISTRIBUTION";#N/A,#N/A,TRUE,"SOUTH";#N/A,#N/A,TRUE,"NORTHEAST";#N/A,#N/A,TRUE,"WEST"}</definedName>
    <definedName name="TEST20">#REF!</definedName>
    <definedName name="test21" hidden="1">{#N/A,#N/A,TRUE,"TOTAL DISTRIBUTION";#N/A,#N/A,TRUE,"SOUTH";#N/A,#N/A,TRUE,"NORTHEAST";#N/A,#N/A,TRUE,"WEST"}</definedName>
    <definedName name="TEST22">#REF!</definedName>
    <definedName name="test23" hidden="1">{#N/A,#N/A,TRUE,"TOTAL DISTRIBUTION";#N/A,#N/A,TRUE,"SOUTH";#N/A,#N/A,TRUE,"NORTHEAST";#N/A,#N/A,TRUE,"WEST"}</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0">#REF!</definedName>
    <definedName name="TEST31">#REF!</definedName>
    <definedName name="TEST32">#REF!</definedName>
    <definedName name="TEST33">#REF!</definedName>
    <definedName name="TEST34">#REF!</definedName>
    <definedName name="TEST4">#REF!</definedName>
    <definedName name="TEST5">#REF!</definedName>
    <definedName name="TEST6">#REF!</definedName>
    <definedName name="TEST7">#REF!</definedName>
    <definedName name="TEST8">#REF!</definedName>
    <definedName name="TEST9">#REF!</definedName>
    <definedName name="TestAdd">"Test RefersTo1"</definedName>
    <definedName name="teste16"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6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6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6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6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6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7"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teste18"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8_1"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8_2"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8_3"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8_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8_5"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9"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19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19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19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19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19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20"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2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25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25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25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25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25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30"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teste40"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40_1"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40_2"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40_3"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40_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40_5"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HKEY">#REF!</definedName>
    <definedName name="testing" hidden="1">{"detail305",#N/A,FALSE,"BI-305"}</definedName>
    <definedName name="TESTKEYS">#REF!</definedName>
    <definedName name="TESTVKEY">#REF!</definedName>
    <definedName name="testwe" hidden="1">{#N/A,#N/A,TRUE,"TOTAL DSBN";#N/A,#N/A,TRUE,"WEST";#N/A,#N/A,TRUE,"SOUTH";#N/A,#N/A,TRUE,"NORTHEAST"}</definedName>
    <definedName name="TET"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T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T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T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T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T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xt">"($ in '000s)"</definedName>
    <definedName name="TextRefCopyRangeCount" hidden="1">4</definedName>
    <definedName name="thjty" hidden="1">{#N/A,#N/A,TRUE,"TOTAL DSBN";#N/A,#N/A,TRUE,"WEST";#N/A,#N/A,TRUE,"SOUTH";#N/A,#N/A,TRUE,"NORTHEAST"}</definedName>
    <definedName name="thousand">1000</definedName>
    <definedName name="THREE">#N/A</definedName>
    <definedName name="TIK_Residue_Noms">#REF!</definedName>
    <definedName name="Time" hidden="1">"b1"</definedName>
    <definedName name="title">#REF!</definedName>
    <definedName name="TKW">#REF!</definedName>
    <definedName name="TKWS">#REF!</definedName>
    <definedName name="TL">#REF!</definedName>
    <definedName name="TL_561">#REF!</definedName>
    <definedName name="TLR_TST">#REF!</definedName>
    <definedName name="TOC">#N/A</definedName>
    <definedName name="Toggle">#REF!</definedName>
    <definedName name="TOM">#REF!</definedName>
    <definedName name="TOM_EAI">#REF!</definedName>
    <definedName name="TOM_EGSI">#REF!</definedName>
    <definedName name="TOM_ELI">#REF!</definedName>
    <definedName name="TOM_EMI">#REF!</definedName>
    <definedName name="TOM_ENOI">#REF!</definedName>
    <definedName name="TOM_ICTC">#REF!</definedName>
    <definedName name="toma" localSheetId="15" hidden="1">{#N/A,#N/A,FALSE,"O&amp;M by processes";#N/A,#N/A,FALSE,"Elec Act vs Bud";#N/A,#N/A,FALSE,"G&amp;A";#N/A,#N/A,FALSE,"BGS";#N/A,#N/A,FALSE,"Res Cost"}</definedName>
    <definedName name="toma" localSheetId="25" hidden="1">{#N/A,#N/A,FALSE,"O&amp;M by processes";#N/A,#N/A,FALSE,"Elec Act vs Bud";#N/A,#N/A,FALSE,"G&amp;A";#N/A,#N/A,FALSE,"BGS";#N/A,#N/A,FALSE,"Res Cost"}</definedName>
    <definedName name="toma" localSheetId="26" hidden="1">{#N/A,#N/A,FALSE,"O&amp;M by processes";#N/A,#N/A,FALSE,"Elec Act vs Bud";#N/A,#N/A,FALSE,"G&amp;A";#N/A,#N/A,FALSE,"BGS";#N/A,#N/A,FALSE,"Res Cost"}</definedName>
    <definedName name="toma" hidden="1">{#N/A,#N/A,FALSE,"O&amp;M by processes";#N/A,#N/A,FALSE,"Elec Act vs Bud";#N/A,#N/A,FALSE,"G&amp;A";#N/A,#N/A,FALSE,"BGS";#N/A,#N/A,FALSE,"Res Cost"}</definedName>
    <definedName name="tomb" localSheetId="15" hidden="1">{#N/A,#N/A,FALSE,"O&amp;M by processes";#N/A,#N/A,FALSE,"Elec Act vs Bud";#N/A,#N/A,FALSE,"G&amp;A";#N/A,#N/A,FALSE,"BGS";#N/A,#N/A,FALSE,"Res Cost"}</definedName>
    <definedName name="tomb" localSheetId="25" hidden="1">{#N/A,#N/A,FALSE,"O&amp;M by processes";#N/A,#N/A,FALSE,"Elec Act vs Bud";#N/A,#N/A,FALSE,"G&amp;A";#N/A,#N/A,FALSE,"BGS";#N/A,#N/A,FALSE,"Res Cost"}</definedName>
    <definedName name="tomb" localSheetId="26" hidden="1">{#N/A,#N/A,FALSE,"O&amp;M by processes";#N/A,#N/A,FALSE,"Elec Act vs Bud";#N/A,#N/A,FALSE,"G&amp;A";#N/A,#N/A,FALSE,"BGS";#N/A,#N/A,FALSE,"Res Cost"}</definedName>
    <definedName name="tomb" hidden="1">{#N/A,#N/A,FALSE,"O&amp;M by processes";#N/A,#N/A,FALSE,"Elec Act vs Bud";#N/A,#N/A,FALSE,"G&amp;A";#N/A,#N/A,FALSE,"BGS";#N/A,#N/A,FALSE,"Res Cost"}</definedName>
    <definedName name="tomc" localSheetId="15" hidden="1">{#N/A,#N/A,FALSE,"O&amp;M by processes";#N/A,#N/A,FALSE,"Elec Act vs Bud";#N/A,#N/A,FALSE,"G&amp;A";#N/A,#N/A,FALSE,"BGS";#N/A,#N/A,FALSE,"Res Cost"}</definedName>
    <definedName name="tomc" localSheetId="25" hidden="1">{#N/A,#N/A,FALSE,"O&amp;M by processes";#N/A,#N/A,FALSE,"Elec Act vs Bud";#N/A,#N/A,FALSE,"G&amp;A";#N/A,#N/A,FALSE,"BGS";#N/A,#N/A,FALSE,"Res Cost"}</definedName>
    <definedName name="tomc" localSheetId="26" hidden="1">{#N/A,#N/A,FALSE,"O&amp;M by processes";#N/A,#N/A,FALSE,"Elec Act vs Bud";#N/A,#N/A,FALSE,"G&amp;A";#N/A,#N/A,FALSE,"BGS";#N/A,#N/A,FALSE,"Res Cost"}</definedName>
    <definedName name="tomc" hidden="1">{#N/A,#N/A,FALSE,"O&amp;M by processes";#N/A,#N/A,FALSE,"Elec Act vs Bud";#N/A,#N/A,FALSE,"G&amp;A";#N/A,#N/A,FALSE,"BGS";#N/A,#N/A,FALSE,"Res Cost"}</definedName>
    <definedName name="tomd" localSheetId="15" hidden="1">{#N/A,#N/A,FALSE,"O&amp;M by processes";#N/A,#N/A,FALSE,"Elec Act vs Bud";#N/A,#N/A,FALSE,"G&amp;A";#N/A,#N/A,FALSE,"BGS";#N/A,#N/A,FALSE,"Res Cost"}</definedName>
    <definedName name="tomd" localSheetId="25" hidden="1">{#N/A,#N/A,FALSE,"O&amp;M by processes";#N/A,#N/A,FALSE,"Elec Act vs Bud";#N/A,#N/A,FALSE,"G&amp;A";#N/A,#N/A,FALSE,"BGS";#N/A,#N/A,FALSE,"Res Cost"}</definedName>
    <definedName name="tomd" localSheetId="26" hidden="1">{#N/A,#N/A,FALSE,"O&amp;M by processes";#N/A,#N/A,FALSE,"Elec Act vs Bud";#N/A,#N/A,FALSE,"G&amp;A";#N/A,#N/A,FALSE,"BGS";#N/A,#N/A,FALSE,"Res Cost"}</definedName>
    <definedName name="tomd" hidden="1">{#N/A,#N/A,FALSE,"O&amp;M by processes";#N/A,#N/A,FALSE,"Elec Act vs Bud";#N/A,#N/A,FALSE,"G&amp;A";#N/A,#N/A,FALSE,"BGS";#N/A,#N/A,FALSE,"Res Cost"}</definedName>
    <definedName name="tomx" localSheetId="15" hidden="1">{#N/A,#N/A,FALSE,"O&amp;M by processes";#N/A,#N/A,FALSE,"Elec Act vs Bud";#N/A,#N/A,FALSE,"G&amp;A";#N/A,#N/A,FALSE,"BGS";#N/A,#N/A,FALSE,"Res Cost"}</definedName>
    <definedName name="tomx" localSheetId="25" hidden="1">{#N/A,#N/A,FALSE,"O&amp;M by processes";#N/A,#N/A,FALSE,"Elec Act vs Bud";#N/A,#N/A,FALSE,"G&amp;A";#N/A,#N/A,FALSE,"BGS";#N/A,#N/A,FALSE,"Res Cost"}</definedName>
    <definedName name="tomx" localSheetId="26" hidden="1">{#N/A,#N/A,FALSE,"O&amp;M by processes";#N/A,#N/A,FALSE,"Elec Act vs Bud";#N/A,#N/A,FALSE,"G&amp;A";#N/A,#N/A,FALSE,"BGS";#N/A,#N/A,FALSE,"Res Cost"}</definedName>
    <definedName name="tomx" hidden="1">{#N/A,#N/A,FALSE,"O&amp;M by processes";#N/A,#N/A,FALSE,"Elec Act vs Bud";#N/A,#N/A,FALSE,"G&amp;A";#N/A,#N/A,FALSE,"BGS";#N/A,#N/A,FALSE,"Res Cost"}</definedName>
    <definedName name="tomy" localSheetId="15" hidden="1">{#N/A,#N/A,FALSE,"O&amp;M by processes";#N/A,#N/A,FALSE,"Elec Act vs Bud";#N/A,#N/A,FALSE,"G&amp;A";#N/A,#N/A,FALSE,"BGS";#N/A,#N/A,FALSE,"Res Cost"}</definedName>
    <definedName name="tomy" localSheetId="25" hidden="1">{#N/A,#N/A,FALSE,"O&amp;M by processes";#N/A,#N/A,FALSE,"Elec Act vs Bud";#N/A,#N/A,FALSE,"G&amp;A";#N/A,#N/A,FALSE,"BGS";#N/A,#N/A,FALSE,"Res Cost"}</definedName>
    <definedName name="tomy" localSheetId="26" hidden="1">{#N/A,#N/A,FALSE,"O&amp;M by processes";#N/A,#N/A,FALSE,"Elec Act vs Bud";#N/A,#N/A,FALSE,"G&amp;A";#N/A,#N/A,FALSE,"BGS";#N/A,#N/A,FALSE,"Res Cost"}</definedName>
    <definedName name="tomy" hidden="1">{#N/A,#N/A,FALSE,"O&amp;M by processes";#N/A,#N/A,FALSE,"Elec Act vs Bud";#N/A,#N/A,FALSE,"G&amp;A";#N/A,#N/A,FALSE,"BGS";#N/A,#N/A,FALSE,"Res Cost"}</definedName>
    <definedName name="tomz" localSheetId="15" hidden="1">{#N/A,#N/A,FALSE,"O&amp;M by processes";#N/A,#N/A,FALSE,"Elec Act vs Bud";#N/A,#N/A,FALSE,"G&amp;A";#N/A,#N/A,FALSE,"BGS";#N/A,#N/A,FALSE,"Res Cost"}</definedName>
    <definedName name="tomz" localSheetId="25" hidden="1">{#N/A,#N/A,FALSE,"O&amp;M by processes";#N/A,#N/A,FALSE,"Elec Act vs Bud";#N/A,#N/A,FALSE,"G&amp;A";#N/A,#N/A,FALSE,"BGS";#N/A,#N/A,FALSE,"Res Cost"}</definedName>
    <definedName name="tomz" localSheetId="26" hidden="1">{#N/A,#N/A,FALSE,"O&amp;M by processes";#N/A,#N/A,FALSE,"Elec Act vs Bud";#N/A,#N/A,FALSE,"G&amp;A";#N/A,#N/A,FALSE,"BGS";#N/A,#N/A,FALSE,"Res Cost"}</definedName>
    <definedName name="tomz" hidden="1">{#N/A,#N/A,FALSE,"O&amp;M by processes";#N/A,#N/A,FALSE,"Elec Act vs Bud";#N/A,#N/A,FALSE,"G&amp;A";#N/A,#N/A,FALSE,"BGS";#N/A,#N/A,FALSE,"Res Cost"}</definedName>
    <definedName name="TORO">#REF!</definedName>
    <definedName name="tot_ded">#REF!</definedName>
    <definedName name="Tota_Deferred">#REF!</definedName>
    <definedName name="Total">#REF!</definedName>
    <definedName name="Total__Kilowatts">#N/A</definedName>
    <definedName name="TOTAL_COLUMBIANA">#REF!</definedName>
    <definedName name="Total_Grove_City">#REF!</definedName>
    <definedName name="TOTAL_HUDSON">#REF!</definedName>
    <definedName name="Total_kWh">#REF!</definedName>
    <definedName name="TOTAL_MONTPELIER">#REF!</definedName>
    <definedName name="total_spend">#REF!</definedName>
    <definedName name="TOTAL_WOODVILLE">#REF!</definedName>
    <definedName name="TotalAllocatedEthane">#REF!</definedName>
    <definedName name="TotalAllocatedGallons">#REF!</definedName>
    <definedName name="TotalAllocatedIsoButane">#REF!</definedName>
    <definedName name="TotalAllocatedNormalButane">#REF!</definedName>
    <definedName name="TotalAllocatedPentanesPlus">#REF!</definedName>
    <definedName name="TotalAllocatedPropane">#REF!</definedName>
    <definedName name="totalcost">#REF!</definedName>
    <definedName name="TotalMeteredFuelAndFlareMcf">#REF!</definedName>
    <definedName name="TotalMeteredFuelAndFlareMmbtu">#REF!</definedName>
    <definedName name="TotalMeteredPlantInletMcf">#REF!</definedName>
    <definedName name="TotalMeteredPlantInletMmbtu">#REF!</definedName>
    <definedName name="TOTALO_M">#N/A</definedName>
    <definedName name="TotalPostedWellHeadMmbtu">#REF!</definedName>
    <definedName name="TOTALS">#REF!</definedName>
    <definedName name="TotalTheoreticalEthane">#REF!</definedName>
    <definedName name="TotalTheoreticalGallons">#REF!</definedName>
    <definedName name="TotalTheoreticalIsoButane">#REF!</definedName>
    <definedName name="TotalTheoreticalNormalButane">#REF!</definedName>
    <definedName name="TotalTheoreticalPentanesPlus">#REF!</definedName>
    <definedName name="TotalTheoreticalPlantInletMcf">#REF!</definedName>
    <definedName name="TotalTheoreticalPlantInletMmbtu">#REF!</definedName>
    <definedName name="TotalTheoreticalPropane">#REF!</definedName>
    <definedName name="TotalvaporVolumeShrinkageMcf">#REF!</definedName>
    <definedName name="TotalvaporVolumeShrinkageMmbtu">#REF!</definedName>
    <definedName name="TotalWellheadMcf">#REF!</definedName>
    <definedName name="TotalWellheadMmbtu">#REF!</definedName>
    <definedName name="Tower">#REF!</definedName>
    <definedName name="Tower_Type">#REF!</definedName>
    <definedName name="TP">#REF!</definedName>
    <definedName name="TPLT">#REF!</definedName>
    <definedName name="TPLT_ITC">#REF!</definedName>
    <definedName name="TPLTXS">#REF!</definedName>
    <definedName name="TPR_TST">#REF!</definedName>
    <definedName name="TradeDirection">#REF!</definedName>
    <definedName name="Trading_Assets_Book_Basis">#N/A</definedName>
    <definedName name="Trading_Assets_Gross_Proceeds">#N/A</definedName>
    <definedName name="Transaction_Fee">#N/A</definedName>
    <definedName name="Transformer_Price">#REF!</definedName>
    <definedName name="TRANSMISSION_PEAK">#REF!</definedName>
    <definedName name="TRB">#REF!</definedName>
    <definedName name="treeList" hidden="1">"10000000000000000000000000000000000000000000000000000000000000000000000000000000000000000000000000000000000000000000000000000000000000000000000000000000000000000000000000000000000000000000000000000000"</definedName>
    <definedName name="Trench_Hard">#REF!</definedName>
    <definedName name="TREV">#REF!</definedName>
    <definedName name="TRGT">#N/A</definedName>
    <definedName name="TRGT_Current_Share_Price">#N/A</definedName>
    <definedName name="TRGT_Shares_Outstanding">#N/A</definedName>
    <definedName name="TrialBalance">#REF!</definedName>
    <definedName name="True_up">#REF!</definedName>
    <definedName name="TRWD_MMBtu">#REF!</definedName>
    <definedName name="tryertyrty" hidden="1">{#N/A,#N/A,FALSE,"Income Statement";#N/A,#N/A,FALSE,"Quarter IS";#N/A,#N/A,FALSE,"US E&amp;P";#N/A,#N/A,FALSE,"International E&amp;P";#N/A,#N/A,FALSE,"Chemicals"}</definedName>
    <definedName name="tt" hidden="1">{"Kontenverteilung",#N/A,FALSE,"H A Ü"}</definedName>
    <definedName name="ttt"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TUBING_PRESSURE">OFFSET(#REF!,3,IF(#REF!=1,#REF!+3,5*#REF!-1),20000,1)</definedName>
    <definedName name="tur">#REF!</definedName>
    <definedName name="turbine_select">#REF!</definedName>
    <definedName name="turbines7">#REF!</definedName>
    <definedName name="TURNDOWN">#N/A</definedName>
    <definedName name="TWELVE">#N/A</definedName>
    <definedName name="TWO">#N/A</definedName>
    <definedName name="TX">#REF!</definedName>
    <definedName name="TXO">#REF!</definedName>
    <definedName name="TXP_TST">#REF!</definedName>
    <definedName name="TYE">#N/A</definedName>
    <definedName name="TYE_1">#N/A</definedName>
    <definedName name="tyertyerty" hidden="1">{TRUE,TRUE,-1.25,-15.5,604.5,343.5,FALSE,FALSE,TRUE,TRUE,0,1,#N/A,1,#N/A,11.0357142857143,23.5294117647059,1,FALSE,FALSE,3,TRUE,1,FALSE,100,"Swvu.normal._.growth.","ACwvu.normal._.growth.",#N/A,FALSE,FALSE,0.75,0.75,1,1,1,"","",TRUE,FALSE,FALSE,FALSE,1,#N/A,1,1,"=R1C1:R20C3",FALSE,#N/A,#N/A,FALSE,FALSE,FALSE,1,#N/A,#N/A,FALSE,FALSE,TRUE,TRUE,TRUE}</definedName>
    <definedName name="tyertyeryt" hidden="1">{TRUE,TRUE,-1.25,-15.5,604.5,343.5,FALSE,FALSE,TRUE,TRUE,0,1,2,1,13,1,4,4,TRUE,TRUE,3,TRUE,1,TRUE,80,"Swvu.qtr._.for._.IR.","ACwvu.qtr._.for._.IR.",#N/A,FALSE,FALSE,0.65,0.5,1.25,1,2,"","",TRUE,FALSE,FALSE,FALSE,1,#N/A,1,1,"=R1C1:R33C11",FALSE,#N/A,#N/A,FALSE,FALSE,FALSE,1,#N/A,#N/A,FALSE,FALSE,TRUE,TRUE,TRUE}</definedName>
    <definedName name="TYPETextLen">#REF!</definedName>
    <definedName name="Typist" hidden="1">"b1"</definedName>
    <definedName name="U">#REF!</definedName>
    <definedName name="UA">#REF!</definedName>
    <definedName name="UDFCount" hidden="1">#REF!</definedName>
    <definedName name="UFG">#REF!</definedName>
    <definedName name="UG_Amps">#REF!</definedName>
    <definedName name="UG_CABLE_INSTALL">#REF!</definedName>
    <definedName name="UIO49X"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IO49X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IO49X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IO49X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IO49X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IO49X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nderbuild">#REF!</definedName>
    <definedName name="Underground_Cable">#REF!</definedName>
    <definedName name="Underground_Cable_Labor">#REF!</definedName>
    <definedName name="Underground_Columns">#REF!</definedName>
    <definedName name="Underground_Splice">#REF!</definedName>
    <definedName name="Underground_Splice_Labor">#REF!</definedName>
    <definedName name="Underground_Storage_Activity">#REF!</definedName>
    <definedName name="Underground_Vaults">#REF!</definedName>
    <definedName name="Underground_Vaults_Labor">#REF!</definedName>
    <definedName name="unf.Leist" hidden="1">{"Alles",#N/A,FALSE,"H A Ü"}</definedName>
    <definedName name="Unfert.Leist" hidden="1">{"Saldenliste",#N/A,FALSE,"H A Ü"}</definedName>
    <definedName name="Union">#REF!</definedName>
    <definedName name="Units">#REF!</definedName>
    <definedName name="unitsbuilt">#REF!</definedName>
    <definedName name="uod" hidden="1">{"detail305",#N/A,FALSE,"BI-305"}</definedName>
    <definedName name="UofM">#REF!</definedName>
    <definedName name="UoM">#REF!</definedName>
    <definedName name="URA">#REF!</definedName>
    <definedName name="username">#REF!</definedName>
    <definedName name="uwe" hidden="1">{"Alles",#N/A,FALSE,"H A Ü"}</definedName>
    <definedName name="uwu" hidden="1">{#N/A,#N/A,FALSE,"QTR Total";#N/A,#N/A,FALSE,"QTR ASNS";#N/A,#N/A,FALSE,"QTR PNCNS";#N/A,#N/A,FALSE,"QTR DSNS";#N/A,#N/A,FALSE,"QTR TNS"}</definedName>
    <definedName name="v" hidden="1">{#N/A,#N/A,FALSE,"TOTFINAL";#N/A,#N/A,FALSE,"FINPLAN";#N/A,#N/A,FALSE,"TOTMOTADJ";#N/A,#N/A,FALSE,"tieEQ";#N/A,#N/A,FALSE,"G";#N/A,#N/A,FALSE,"ELIMS";#N/A,#N/A,FALSE,"NEXTEL ADJ";#N/A,#N/A,FALSE,"MIMS";#N/A,#N/A,FALSE,"LMPS";#N/A,#N/A,FALSE,"CNSS";#N/A,#N/A,FALSE,"CSS";#N/A,#N/A,FALSE,"MCG";#N/A,#N/A,FALSE,"AECS";#N/A,#N/A,FALSE,"SPS";#N/A,#N/A,FALSE,"CORP"}</definedName>
    <definedName name="Valad">#REF!</definedName>
    <definedName name="valDate">#REF!</definedName>
    <definedName name="Valparaiso">#REF!</definedName>
    <definedName name="Value" hidden="1">{"assumptions",#N/A,FALSE,"Scenario 1";"valuation",#N/A,FALSE,"Scenario 1"}</definedName>
    <definedName name="value1" hidden="1">{#N/A,#N/A,FALSE,"Cashflow Analysis";#N/A,#N/A,FALSE,"Sensitivity Analysis";#N/A,#N/A,FALSE,"PV";#N/A,#N/A,FALSE,"Pro Forma"}</definedName>
    <definedName name="Values_Entered">IF(Loan_Amount*Interest_Rate*Loan_Years*Loan_Start&gt;0,1,0)</definedName>
    <definedName name="Vendor_Model_LU">#REF!</definedName>
    <definedName name="Version" hidden="1">"a1"</definedName>
    <definedName name="vgtl" hidden="1">{#N/A,#N/A,FALSE,"INPUTDATA";#N/A,#N/A,FALSE,"SUMMARY"}</definedName>
    <definedName name="VO_M">#N/A</definedName>
    <definedName name="Voltage">#REF!</definedName>
    <definedName name="Voltage_pick">#REF!</definedName>
    <definedName name="VolumeEsc">#N/A</definedName>
    <definedName name="VP">#REF!</definedName>
    <definedName name="VSPAE">#REF!</definedName>
    <definedName name="VSPRB">#REF!</definedName>
    <definedName name="vv"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vvv" hidden="1">{"EXCELHLP.HLP!1802";5;10;5;10;13;13;13;8;5;5;10;14;13;13;13;13;5;10;14;13;5;10;1;2;24}</definedName>
    <definedName name="w" hidden="1">{"MATALL",#N/A,FALSE,"Sheet4";"matclass",#N/A,FALSE,"Sheet4"}</definedName>
    <definedName name="w3r345"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WACC_Pre_Tax">#REF!</definedName>
    <definedName name="WACC_Pre_TaxExempt">#REF!</definedName>
    <definedName name="WACC_Tax">#REF!</definedName>
    <definedName name="WADSWORTH">#REF!</definedName>
    <definedName name="waefar"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WAPA_CROD">#REF!</definedName>
    <definedName name="WAPA_Demand">#REF!</definedName>
    <definedName name="WAPA_Energy">#REF!</definedName>
    <definedName name="WARR" hidden="1">#REF!</definedName>
    <definedName name="WATER_RATE">OFFSET(#REF!,3,IF(#REF!=1,#REF!+2,5*#REF!-2),20000,1)</definedName>
    <definedName name="Water_Table">#REF!</definedName>
    <definedName name="wavy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CCGCR2">#REF!</definedName>
    <definedName name="we" hidden="1">{#N/A,#N/A,FALSE,"1997 WW (Short)";#N/A,#N/A,FALSE,"1997 RF Mfg";#N/A,#N/A,FALSE,"Ancillary-CSM";#N/A,#N/A,FALSE,"1997 Service"}</definedName>
    <definedName name="weeks">#REF!</definedName>
    <definedName name="wef" hidden="1">{TRUE,TRUE,-1.25,-15.5,604.5,343.5,FALSE,FALSE,TRUE,TRUE,0,1,#N/A,1,35,14.1666666666667,3,3,FALSE,TRUE,3,TRUE,1,TRUE,85,"Swvu.oil._.and._.gas._.details.","ACwvu.oil._.and._.gas._.details.",#N/A,FALSE,FALSE,0.75,0.75,1,1,1,"","",TRUE,FALSE,FALSE,FALSE,1,#N/A,1,1,"=R1C1:R59C11","=R1:R3",#N/A,#N/A,FALSE,FALSE,FALSE,1,#N/A,#N/A,FALSE,FALSE,TRUE,TRUE,TRUE}</definedName>
    <definedName name="WEFA" hidden="1">{TRUE,TRUE,-1.25,-21.5,964.5,725.25,FALSE,FALSE,TRUE,FALSE,35,3,22,1,#N/A,14.0676691729323,49.5294117647059,1,TRUE,FALSE,3,FALSE,1,FALSE,100,"Swvu.Table.","ACwvu.Table.",#N/A,FALSE,FALSE,0.75,0.75,1,1,1,"&amp;A","Page &amp;P",FALSE,FALSE,FALSE,FALSE,1,70,#N/A,#N/A,FALSE,FALSE,"Rwvu.Table.",#N/A,FALSE,FALSE,TRUE,1,65532,65532,FALSE,FALSE,FALSE,FALSE,FALSE}</definedName>
    <definedName name="WELL_HEAD_ESTIMATES">#REF!</definedName>
    <definedName name="wertewrtewrt" hidden="1">{"WestHem EP Price and Vol Detail",#N/A,FALSE,"West Hemp - Other ";"Eur EP Price and Vol Detail",#N/A,FALSE,"Eur E&amp;P";"EastHem EP Price and Vol Detail",#N/A,FALSE,"East Hemp - Other";"Equity EP Price and Vol Detail",#N/A,FALSE,"Equity Affiliate EP";"Foreign RM Operating Stats",#N/A,FALSE,"Foreign R&amp;M"}</definedName>
    <definedName name="wertewrtw" hidden="1">{#N/A,#N/A,FALSE,"Cover";"Factsheet",#N/A,FALSE,"Factsheet";"GPVM",#N/A,FALSE,"DDM";"normal growth",#N/A,FALSE,"Normal Growth";"Earnings",#N/A,FALSE,"Earnings";"interim model",#N/A,FALSE,"Interim";"balancesheet",#N/A,FALSE,"BalanceSheet";"balance sheet details",#N/A,FALSE,"BalanceSheet";"change in cash",#N/A,FALSE,"CashFlow";"UK oil and gas results",#N/A,FALSE,"UK Production";"Int. Oil and Gas Results",#N/A,FALSE,"International E&amp;P";"capexsum",#N/A,FALSE,"CAPEX Sum";"K",#N/A,FALSE,"Forecast K (2)"}</definedName>
    <definedName name="wertwert" hidden="1">{"Factsheet",#N/A,FALSE,"Fact";"Earnings",#N/A,FALSE,"Earnings";"BalanceSheet",#N/A,FALSE,"BalanceSheet";"Change in Cash",#N/A,FALSE,"CashFlow";"Q Rating",#N/A,FALSE,"Q-Rating";"Dupont",#N/A,FALSE,"Dupont"}</definedName>
    <definedName name="wertwertewrt" hidden="1">{"Factsheet",#N/A,FALSE,"Fact";"Earnings",#N/A,FALSE,"Earnings";"BalanceSheet",#N/A,FALSE,"BalanceSheet";"Balance Sheet Details",#N/A,FALSE,"BalanceSheet";"ChangeinCash",#N/A,FALSE,"CashFlow";"UpstrmNormalErngs",#N/A,FALSE,"NormEngUp";"NormalEngs",#N/A,FALSE,"NormalEngs";"NormalGrowth",#N/A,FALSE,"NormalGrowth";"US EP Earnings",#N/A,FALSE,"US E&amp;P";"US EP Price Vol Detail",#N/A,FALSE,"US E&amp;P";"International EP Earnings",#N/A,FALSE,"International E&amp;P";"International EP Price Vol Detail",#N/A,FALSE,"International E&amp;P";"ENPSummary",#N/A,FALSE,"E&amp;P Summary";"GPMEarnings",#N/A,FALSE,"GPM";"RMT Earnings",#N/A,FALSE,"RM&amp;T";"RMT Operating Details",#N/A,FALSE,"RM&amp;T";"Chemicals",#N/A,FALSE,"Chemicals";"CapexSummary",#N/A,FALSE,"CAPEX Sum";"quarterly",#N/A,FALSE,"Quarters";"ROCE",#N/A,FALSE,"ROCE";"NAV",#N/A,FALSE,"NAV";"DCF",#N/A,FALSE,"DCFEVA";"QRating",#N/A,FALSE,"Q-Rating";"Dupont",#N/A,FALSE,"Dupont";"assumptions",#N/A,FALSE,"Assumptions"}</definedName>
    <definedName name="wertwertwer" hidden="1">{"Earnings",#N/A,FALSE,"Earnings";"BalanceSheet",#N/A,FALSE,"BalanceSheet";"ChangesinCash",#N/A,FALSE,"CashFlow";"Factsheet",#N/A,FALSE,"Factsheet";"Financial_Ratios",#N/A,FALSE,"CashFlow";"US_ENP_per_Bbl",#N/A,FALSE,"USE&amp;P";"USENP_DCF",#N/A,FALSE,"USE&amp;P";"Eur_ENP_per_Bbl",#N/A,FALSE,"EURE&amp;P";"EURENP_DCF",#N/A,FALSE,"EURE&amp;P";"Can_ENP_per_Bbl",#N/A,FALSE,"CAN&amp;OTHE&amp;P";"Can_ENP_DCF",#N/A,FALSE,"CAN&amp;OTHE&amp;P";"Other_ENP_per_Bbl",#N/A,FALSE,"CAN&amp;OTHE&amp;P";"Other_ENP_DCF",#N/A,FALSE,"CAN&amp;OTHE&amp;P";"Production_Summary",#N/A,FALSE,"E&amp;PSum";"Capital_Expends",#N/A,FALSE,"E&amp;PSum";"US_RNM_Engs",#N/A,FALSE,"USR&amp;M";"US_RNM_Operating_Stats",#N/A,FALSE,"USR&amp;M";"US_RNM_DCF",#N/A,FALSE,"USR&amp;M";"ROW_RNM_Earnings",#N/A,FALSE,"ROWR&amp;M";"ROW_RNM_Operating_Stats",#N/A,FALSE,"ROWR&amp;M";"ROW_RNM_DCF",#N/A,FALSE,"ROWR&amp;M";"Chemicals_Earnings",#N/A,FALSE,"Chemicals";"Benchmark_Price_Assumptions",#N/A,FALSE,"Assumptions";"Net_Asset_Value",#N/A,FALSE,"NAV";"Quarterly_Earnings",#N/A,FALSE,"Quarterly";"ROCE",#N/A,FALSE,"ROCE";"Dupont",#N/A,FALSE,"Dupont"}</definedName>
    <definedName name="WESTERN_DEMAND">#REF!</definedName>
    <definedName name="WESTERN_ENERGY">#REF!</definedName>
    <definedName name="WFC" hidden="1">#REF!</definedName>
    <definedName name="wfe"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FTSR">#REF!</definedName>
    <definedName name="wh" localSheetId="15" hidden="1">{#N/A,#N/A,FALSE,"O&amp;M by processes";#N/A,#N/A,FALSE,"Elec Act vs Bud";#N/A,#N/A,FALSE,"G&amp;A";#N/A,#N/A,FALSE,"BGS";#N/A,#N/A,FALSE,"Res Cost"}</definedName>
    <definedName name="wh" localSheetId="25" hidden="1">{#N/A,#N/A,FALSE,"O&amp;M by processes";#N/A,#N/A,FALSE,"Elec Act vs Bud";#N/A,#N/A,FALSE,"G&amp;A";#N/A,#N/A,FALSE,"BGS";#N/A,#N/A,FALSE,"Res Cost"}</definedName>
    <definedName name="wh" localSheetId="26" hidden="1">{#N/A,#N/A,FALSE,"O&amp;M by processes";#N/A,#N/A,FALSE,"Elec Act vs Bud";#N/A,#N/A,FALSE,"G&amp;A";#N/A,#N/A,FALSE,"BGS";#N/A,#N/A,FALSE,"Res Cost"}</definedName>
    <definedName name="wh" hidden="1">{#N/A,#N/A,FALSE,"O&amp;M by processes";#N/A,#N/A,FALSE,"Elec Act vs Bud";#N/A,#N/A,FALSE,"G&amp;A";#N/A,#N/A,FALSE,"BGS";#N/A,#N/A,FALSE,"Res Cost"}</definedName>
    <definedName name="what" localSheetId="15" hidden="1">{#N/A,#N/A,FALSE,"O&amp;M by processes";#N/A,#N/A,FALSE,"Elec Act vs Bud";#N/A,#N/A,FALSE,"G&amp;A";#N/A,#N/A,FALSE,"BGS";#N/A,#N/A,FALSE,"Res Cost"}</definedName>
    <definedName name="what" localSheetId="25" hidden="1">{#N/A,#N/A,FALSE,"O&amp;M by processes";#N/A,#N/A,FALSE,"Elec Act vs Bud";#N/A,#N/A,FALSE,"G&amp;A";#N/A,#N/A,FALSE,"BGS";#N/A,#N/A,FALSE,"Res Cost"}</definedName>
    <definedName name="what" localSheetId="26" hidden="1">{#N/A,#N/A,FALSE,"O&amp;M by processes";#N/A,#N/A,FALSE,"Elec Act vs Bud";#N/A,#N/A,FALSE,"G&amp;A";#N/A,#N/A,FALSE,"BGS";#N/A,#N/A,FALSE,"Res Cost"}</definedName>
    <definedName name="what" hidden="1">{#N/A,#N/A,FALSE,"O&amp;M by processes";#N/A,#N/A,FALSE,"Elec Act vs Bud";#N/A,#N/A,FALSE,"G&amp;A";#N/A,#N/A,FALSE,"BGS";#N/A,#N/A,FALSE,"Res Cost"}</definedName>
    <definedName name="what2" hidden="1">{"Age 50; 100% - NPPC",#N/A,FALSE,"Age 50; 100%";"Age 50; 100% - PSC",#N/A,FALSE,"Age 50; 100%";"Age 50; 100% - Gain/Loss",#N/A,FALSE,"Age 50; 100%"}</definedName>
    <definedName name="what3" hidden="1">{"Age 50; 50% - NPPC",#N/A,FALSE,"Age 50; 50%";"Age 50; 50% - PSC",#N/A,FALSE,"Age 50; 50%";"Age 50; 50% - Gain/Loss",#N/A,FALSE,"Age 50; 50%"}</definedName>
    <definedName name="Whatwhat" localSheetId="15" hidden="1">{#N/A,#N/A,FALSE,"O&amp;M by processes";#N/A,#N/A,FALSE,"Elec Act vs Bud";#N/A,#N/A,FALSE,"G&amp;A";#N/A,#N/A,FALSE,"BGS";#N/A,#N/A,FALSE,"Res Cost"}</definedName>
    <definedName name="Whatwhat" localSheetId="25" hidden="1">{#N/A,#N/A,FALSE,"O&amp;M by processes";#N/A,#N/A,FALSE,"Elec Act vs Bud";#N/A,#N/A,FALSE,"G&amp;A";#N/A,#N/A,FALSE,"BGS";#N/A,#N/A,FALSE,"Res Cost"}</definedName>
    <definedName name="Whatwhat" localSheetId="26" hidden="1">{#N/A,#N/A,FALSE,"O&amp;M by processes";#N/A,#N/A,FALSE,"Elec Act vs Bud";#N/A,#N/A,FALSE,"G&amp;A";#N/A,#N/A,FALSE,"BGS";#N/A,#N/A,FALSE,"Res Cost"}</definedName>
    <definedName name="Whatwhat" hidden="1">{#N/A,#N/A,FALSE,"O&amp;M by processes";#N/A,#N/A,FALSE,"Elec Act vs Bud";#N/A,#N/A,FALSE,"G&amp;A";#N/A,#N/A,FALSE,"BGS";#N/A,#N/A,FALSE,"Res Cost"}</definedName>
    <definedName name="whnos" hidden="1">{#N/A,#N/A,TRUE,"TOTAL DSBN";#N/A,#N/A,TRUE,"WEST";#N/A,#N/A,TRUE,"SOUTH";#N/A,#N/A,TRUE,"NORTHEAST"}</definedName>
    <definedName name="who" localSheetId="15" hidden="1">{#N/A,#N/A,FALSE,"O&amp;M by processes";#N/A,#N/A,FALSE,"Elec Act vs Bud";#N/A,#N/A,FALSE,"G&amp;A";#N/A,#N/A,FALSE,"BGS";#N/A,#N/A,FALSE,"Res Cost"}</definedName>
    <definedName name="who" localSheetId="25" hidden="1">{#N/A,#N/A,FALSE,"O&amp;M by processes";#N/A,#N/A,FALSE,"Elec Act vs Bud";#N/A,#N/A,FALSE,"G&amp;A";#N/A,#N/A,FALSE,"BGS";#N/A,#N/A,FALSE,"Res Cost"}</definedName>
    <definedName name="who" localSheetId="26" hidden="1">{#N/A,#N/A,FALSE,"O&amp;M by processes";#N/A,#N/A,FALSE,"Elec Act vs Bud";#N/A,#N/A,FALSE,"G&amp;A";#N/A,#N/A,FALSE,"BGS";#N/A,#N/A,FALSE,"Res Cost"}</definedName>
    <definedName name="who" hidden="1">{#N/A,#N/A,FALSE,"O&amp;M by processes";#N/A,#N/A,FALSE,"Elec Act vs Bud";#N/A,#N/A,FALSE,"G&amp;A";#N/A,#N/A,FALSE,"BGS";#N/A,#N/A,FALSE,"Res Cost"}</definedName>
    <definedName name="whowho" localSheetId="15" hidden="1">{#N/A,#N/A,FALSE,"O&amp;M by processes";#N/A,#N/A,FALSE,"Elec Act vs Bud";#N/A,#N/A,FALSE,"G&amp;A";#N/A,#N/A,FALSE,"BGS";#N/A,#N/A,FALSE,"Res Cost"}</definedName>
    <definedName name="whowho" localSheetId="25" hidden="1">{#N/A,#N/A,FALSE,"O&amp;M by processes";#N/A,#N/A,FALSE,"Elec Act vs Bud";#N/A,#N/A,FALSE,"G&amp;A";#N/A,#N/A,FALSE,"BGS";#N/A,#N/A,FALSE,"Res Cost"}</definedName>
    <definedName name="whowho" localSheetId="26" hidden="1">{#N/A,#N/A,FALSE,"O&amp;M by processes";#N/A,#N/A,FALSE,"Elec Act vs Bud";#N/A,#N/A,FALSE,"G&amp;A";#N/A,#N/A,FALSE,"BGS";#N/A,#N/A,FALSE,"Res Cost"}</definedName>
    <definedName name="whowho" hidden="1">{#N/A,#N/A,FALSE,"O&amp;M by processes";#N/A,#N/A,FALSE,"Elec Act vs Bud";#N/A,#N/A,FALSE,"G&amp;A";#N/A,#N/A,FALSE,"BGS";#N/A,#N/A,FALSE,"Res Cost"}</definedName>
    <definedName name="whwh" localSheetId="15" hidden="1">{#N/A,#N/A,FALSE,"O&amp;M by processes";#N/A,#N/A,FALSE,"Elec Act vs Bud";#N/A,#N/A,FALSE,"G&amp;A";#N/A,#N/A,FALSE,"BGS";#N/A,#N/A,FALSE,"Res Cost"}</definedName>
    <definedName name="whwh" localSheetId="25" hidden="1">{#N/A,#N/A,FALSE,"O&amp;M by processes";#N/A,#N/A,FALSE,"Elec Act vs Bud";#N/A,#N/A,FALSE,"G&amp;A";#N/A,#N/A,FALSE,"BGS";#N/A,#N/A,FALSE,"Res Cost"}</definedName>
    <definedName name="whwh" localSheetId="26" hidden="1">{#N/A,#N/A,FALSE,"O&amp;M by processes";#N/A,#N/A,FALSE,"Elec Act vs Bud";#N/A,#N/A,FALSE,"G&amp;A";#N/A,#N/A,FALSE,"BGS";#N/A,#N/A,FALSE,"Res Cost"}</definedName>
    <definedName name="whwh" hidden="1">{#N/A,#N/A,FALSE,"O&amp;M by processes";#N/A,#N/A,FALSE,"Elec Act vs Bud";#N/A,#N/A,FALSE,"G&amp;A";#N/A,#N/A,FALSE,"BGS";#N/A,#N/A,FALSE,"Res Cost"}</definedName>
    <definedName name="why" localSheetId="15" hidden="1">{#N/A,#N/A,FALSE,"O&amp;M by processes";#N/A,#N/A,FALSE,"Elec Act vs Bud";#N/A,#N/A,FALSE,"G&amp;A";#N/A,#N/A,FALSE,"BGS";#N/A,#N/A,FALSE,"Res Cost"}</definedName>
    <definedName name="why" localSheetId="25" hidden="1">{#N/A,#N/A,FALSE,"O&amp;M by processes";#N/A,#N/A,FALSE,"Elec Act vs Bud";#N/A,#N/A,FALSE,"G&amp;A";#N/A,#N/A,FALSE,"BGS";#N/A,#N/A,FALSE,"Res Cost"}</definedName>
    <definedName name="why" localSheetId="26" hidden="1">{#N/A,#N/A,FALSE,"O&amp;M by processes";#N/A,#N/A,FALSE,"Elec Act vs Bud";#N/A,#N/A,FALSE,"G&amp;A";#N/A,#N/A,FALSE,"BGS";#N/A,#N/A,FALSE,"Res Cost"}</definedName>
    <definedName name="why" hidden="1">{#N/A,#N/A,FALSE,"O&amp;M by processes";#N/A,#N/A,FALSE,"Elec Act vs Bud";#N/A,#N/A,FALSE,"G&amp;A";#N/A,#N/A,FALSE,"BGS";#N/A,#N/A,FALSE,"Res Cost"}</definedName>
    <definedName name="why?" hidden="1">{#N/A,#N/A,TRUE,"TOTAL DSBN";#N/A,#N/A,TRUE,"WEST";#N/A,#N/A,TRUE,"SOUTH";#N/A,#N/A,TRUE,"NORTHEAST"}</definedName>
    <definedName name="WindRow">#REF!</definedName>
    <definedName name="WindSpace">#REF!</definedName>
    <definedName name="WinZipCell" hidden="1">#REF!</definedName>
    <definedName name="wish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ITHSTD">#REF!</definedName>
    <definedName name="WO">#REF!</definedName>
    <definedName name="WO_Description">#REF!</definedName>
    <definedName name="WOList">#REF!</definedName>
    <definedName name="Wood_Class">#REF!</definedName>
    <definedName name="WORK_SHEET_CODING_CONVENTIONS">#REF!</definedName>
    <definedName name="WORKCAPa" hidden="1">{"WCCWCLL",#N/A,FALSE,"Sheet3";"PP",#N/A,FALSE,"Sheet3";"MAT1",#N/A,FALSE,"Sheet3";"MAT2",#N/A,FALSE,"Sheet3"}</definedName>
    <definedName name="WOTypes">#REF!</definedName>
    <definedName name="wpk" hidden="1">{#N/A,#N/A,FALSE,"INPUTDATA";#N/A,#N/A,FALSE,"SUMMARY"}</definedName>
    <definedName name="wr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wrej" hidden="1">{#N/A,#N/A,FALSE,"Aging Summary";#N/A,#N/A,FALSE,"Ratio Analysis";#N/A,#N/A,FALSE,"Test 120 Day Accts";#N/A,#N/A,FALSE,"Tickmarks"}</definedName>
    <definedName name="wrn" localSheetId="15" hidden="1">{#N/A,#N/A,FALSE,"O&amp;M by processes";#N/A,#N/A,FALSE,"Elec Act vs Bud";#N/A,#N/A,FALSE,"G&amp;A";#N/A,#N/A,FALSE,"BGS";#N/A,#N/A,FALSE,"Res Cost"}</definedName>
    <definedName name="wrn" localSheetId="25" hidden="1">{#N/A,#N/A,FALSE,"O&amp;M by processes";#N/A,#N/A,FALSE,"Elec Act vs Bud";#N/A,#N/A,FALSE,"G&amp;A";#N/A,#N/A,FALSE,"BGS";#N/A,#N/A,FALSE,"Res Cost"}</definedName>
    <definedName name="wrn" localSheetId="26" hidden="1">{#N/A,#N/A,FALSE,"O&amp;M by processes";#N/A,#N/A,FALSE,"Elec Act vs Bud";#N/A,#N/A,FALSE,"G&amp;A";#N/A,#N/A,FALSE,"BGS";#N/A,#N/A,FALSE,"Res Cost"}</definedName>
    <definedName name="wrn" hidden="1">{#N/A,#N/A,FALSE,"O&amp;M by processes";#N/A,#N/A,FALSE,"Elec Act vs Bud";#N/A,#N/A,FALSE,"G&amp;A";#N/A,#N/A,FALSE,"BGS";#N/A,#N/A,FALSE,"Res Cost"}</definedName>
    <definedName name="wrn.01_All_Package." hidden="1">{#N/A,#N/A,TRUE,"Cover";#N/A,#N/A,TRUE,"Comments PCS";#N/A,#N/A,TRUE,"Comments CIG";#N/A,#N/A,TRUE,"Comments IDEN";#N/A,#N/A,TRUE,"BS PCS";#N/A,#N/A,TRUE,"BS CIG";#N/A,#N/A,TRUE,"BS IDEN";#N/A,#N/A,TRUE,"BS TOTAL";#N/A,#N/A,TRUE,"BS_ESG ";#N/A,#N/A,TRUE,"Balance SPS";#N/A,#N/A,TRUE,"BS_CORPORATE";#N/A,#N/A,TRUE,"P&amp;L PCS";#N/A,#N/A,TRUE,"P&amp;L FWT";#N/A,#N/A,TRUE,"P&amp;L CIG";#N/A,#N/A,TRUE,"P&amp;L IDEN";#N/A,#N/A,TRUE,"P&amp;L TOTAL";#N/A,#N/A,TRUE,"P&amp;L_SPS";#N/A,#N/A,TRUE,"P&amp;L_ESG";#N/A,#N/A,TRUE,"P&amp;L_CORP";#N/A,#N/A,TRUE,"Cash Flow PCS";#N/A,#N/A,TRUE,"Cash Flow CIG";#N/A,#N/A,TRUE,"Cash Flow IDEN";#N/A,#N/A,TRUE,"Cash Flow TOTAL";#N/A,#N/A,TRUE,"MBR PCS";#N/A,#N/A,TRUE,"MBR CIG";#N/A,#N/A,TRUE,"MBR iDEN";#N/A,#N/A,TRUE,"MBR_FWT";#N/A,#N/A,TRUE,"MBR TOTAL";#N/A,#N/A,TRUE,"Headcount_PCS ";#N/A,#N/A,TRUE,"Headcount CIG";#N/A,#N/A,TRUE,"Headcount iDEN";#N/A,#N/A,TRUE,"JAG PLANT TREND";#N/A,#N/A,TRUE,"FAB UN CSG ";#N/A,#N/A,TRUE,"FAB UN CIG";#N/A,#N/A,TRUE,"FAB UN PPG";#N/A,#N/A,TRUE,"FAB UN IDEN";#N/A,#N/A,TRUE,"FAB UN FWT";#N/A,#N/A,TRUE,"CSS MFG";#N/A,#N/A,TRUE,"CSS Distr";#N/A,#N/A,TRUE,"CSG 6-Up Charts";#N/A,#N/A,TRUE,"CIG MFG";#N/A,#N/A,TRUE,"IDEN MFG";#N/A,#N/A,TRUE,"IDEN 6-Up Charts  ";#N/A,#N/A,TRUE,"FWT MFG";#N/A,#N/A,TRUE,"FWT 6-Up Charts ";#N/A,#N/A,TRUE,"PCS Inventory";#N/A,#N/A,TRUE,"CIG Inventory";#N/A,#N/A,TRUE,"IDEN Inventory";#N/A,#N/A,TRUE,"FWT Inventory";#N/A,#N/A,TRUE,"CE JAG Inventory";#N/A,#N/A,TRUE,"Capital Expenditures";#N/A,#N/A,TRUE,"FM CSG";#N/A,#N/A,TRUE,"NSAD ASP CGS";#N/A,#N/A,TRUE,"FM CIG";#N/A,#N/A,TRUE,"NSAD ASP CIG";#N/A,#N/A,TRUE,"FM iDEN";#N/A,#N/A,TRUE,"NSAD IDEN";#N/A,#N/A,TRUE,"R&amp;D  Report";#N/A,#N/A,TRUE,"PCS Credit";#N/A,#N/A,TRUE,"PCS Mrg Analysis";#N/A,#N/A,TRUE,"Dpc Tango";#N/A,#N/A,TRUE,"Startac Analog";#N/A,#N/A,TRUE,"Mercury CDMA";#N/A,#N/A,TRUE,"Startac CDMA";#N/A,#N/A,TRUE,"Startac TDMA";#N/A,#N/A,TRUE,"Modulus TDMA";#N/A,#N/A,TRUE,"CIG Mrg Analysis";#N/A,#N/A,TRUE,"IDEN Mrg Analysis"}</definedName>
    <definedName name="wrn.02_PCS."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2_PCS._1"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2_PCS._2"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2_PCS._3"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2_PCS._4"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2_PCS._5"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3_Corporate." hidden="1">{#N/A,#N/A,FALSE,"BS_CORPORATE"}</definedName>
    <definedName name="wrn.03_Corporate._1" hidden="1">{#N/A,#N/A,FALSE,"BS_CORPORATE"}</definedName>
    <definedName name="wrn.03_Corporate._2" hidden="1">{#N/A,#N/A,FALSE,"BS_CORPORATE"}</definedName>
    <definedName name="wrn.03_Corporate._3" hidden="1">{#N/A,#N/A,FALSE,"BS_CORPORATE"}</definedName>
    <definedName name="wrn.03_Corporate._4" hidden="1">{#N/A,#N/A,FALSE,"BS_CORPORATE"}</definedName>
    <definedName name="wrn.03_Corporate._5" hidden="1">{#N/A,#N/A,FALSE,"BS_CORPORATE"}</definedName>
    <definedName name="wrn.03_NSS."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3_NSS._1"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3_NSS._2"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3_NSS._3"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3_NSS._4"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3_NSS._5"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4_ESG." hidden="1">{#N/A,#N/A,FALSE,"BS_ESG ";#N/A,#N/A,FALSE,"P&amp;L_ESG"}</definedName>
    <definedName name="wrn.04_ESG._1" hidden="1">{#N/A,#N/A,FALSE,"BS_ESG ";#N/A,#N/A,FALSE,"P&amp;L_ESG"}</definedName>
    <definedName name="wrn.04_ESG._2" hidden="1">{#N/A,#N/A,FALSE,"BS_ESG ";#N/A,#N/A,FALSE,"P&amp;L_ESG"}</definedName>
    <definedName name="wrn.04_ESG._3" hidden="1">{#N/A,#N/A,FALSE,"BS_ESG ";#N/A,#N/A,FALSE,"P&amp;L_ESG"}</definedName>
    <definedName name="wrn.04_ESG._4" hidden="1">{#N/A,#N/A,FALSE,"BS_ESG ";#N/A,#N/A,FALSE,"P&amp;L_ESG"}</definedName>
    <definedName name="wrn.04_ESG._5" hidden="1">{#N/A,#N/A,FALSE,"BS_ESG ";#N/A,#N/A,FALSE,"P&amp;L_ESG"}</definedName>
    <definedName name="wrn.05_SPS." hidden="1">{#N/A,#N/A,FALSE,"Balance SPS";#N/A,#N/A,FALSE,"P&amp;L_SPS"}</definedName>
    <definedName name="wrn.05_SPS._1" hidden="1">{#N/A,#N/A,FALSE,"Balance SPS";#N/A,#N/A,FALSE,"P&amp;L_SPS"}</definedName>
    <definedName name="wrn.05_SPS._2" hidden="1">{#N/A,#N/A,FALSE,"Balance SPS";#N/A,#N/A,FALSE,"P&amp;L_SPS"}</definedName>
    <definedName name="wrn.05_SPS._3" hidden="1">{#N/A,#N/A,FALSE,"Balance SPS";#N/A,#N/A,FALSE,"P&amp;L_SPS"}</definedName>
    <definedName name="wrn.05_SPS._4" hidden="1">{#N/A,#N/A,FALSE,"Balance SPS";#N/A,#N/A,FALSE,"P&amp;L_SPS"}</definedName>
    <definedName name="wrn.05_SPS._5" hidden="1">{#N/A,#N/A,FALSE,"Balance SPS";#N/A,#N/A,FALSE,"P&amp;L_SPS"}</definedName>
    <definedName name="wrn.1_Complete._.Package._.less._.Backup." hidden="1">{#N/A,#N/A,FALSE,"Cover";#N/A,#N/A,FALSE,"General Assumptions";#N/A,#N/A,FALSE,"Comments CCS";#N/A,#N/A,FALSE,"Comments CIG";#N/A,#N/A,FALSE,"Comments IDEN";#N/A,#N/A,FALSE,"BS CSS";#N/A,#N/A,FALSE,"BS CIG";#N/A,#N/A,FALSE,"BS IDEN";#N/A,#N/A,FALSE,"BS TOTAL";#N/A,#N/A,FALSE,"P&amp;L CSS";#N/A,#N/A,FALSE,"P&amp;L CIG";#N/A,#N/A,FALSE,"P&amp;L IDEN";#N/A,#N/A,FALSE,"P&amp;L TOTAL";#N/A,#N/A,FALSE,"Cash Flow CSS";#N/A,#N/A,FALSE,"Cash Flow CIG";#N/A,#N/A,FALSE,"Cash Flow IDEN";#N/A,#N/A,FALSE,"Cash Flow Total";#N/A,#N/A,FALSE,"MBR CSS";#N/A,#N/A,FALSE,"MBR CIG";#N/A,#N/A,FALSE,"MBR IDEN";#N/A,#N/A,FALSE,"MBR JAG PLANT";#N/A,#N/A,FALSE,"Headcount - CSS";#N/A,#N/A,FALSE,"Headcount - CIG";#N/A,#N/A,FALSE,"Headcount - IDEN";#N/A,#N/A,FALSE,"Headcount JAG PLANT";#N/A,#N/A,FALSE,"CSS MFG";#N/A,#N/A,FALSE,"CSS Distr ";#N/A,#N/A,FALSE,"CIG MFG";#N/A,#N/A,FALSE,"IDEN MFG";#N/A,#N/A,FALSE,"CSS Inventory";#N/A,#N/A,FALSE,"CIG Inventory";#N/A,#N/A,FALSE,"IDEN Inventory";#N/A,#N/A,FALSE,"Capital CSS";#N/A,#N/A,FALSE,"Capital CIG";#N/A,#N/A,FALSE,"Capital iDEN";#N/A,#N/A,FALSE,"BACK UP CORPORATE"}</definedName>
    <definedName name="wrn.1995._.Federal._.Tax._.Installments." hidden="1">{#N/A,#N/A,TRUE,"TAX CALC";#N/A,#N/A,TRUE,"TI SUMMARY";#N/A,#N/A,TRUE,"AMT";#N/A,#N/A,TRUE,"ETR REVIEW"}</definedName>
    <definedName name="wrn.1999._.Cash._.Report." hidden="1">{"1999 Cash Budget",#N/A,FALSE,"99 Cash";"1999 Cash Budget YTD",#N/A,FALSE,"99 Cash";"1999 Cash Actual/Forcast",#N/A,FALSE,"99 Cash";"1999 Cash Actual/Forcast YTD",#N/A,FALSE,"99 Cash"}</definedName>
    <definedName name="wrn.2_PCS." hidden="1">{#N/A,#N/A,FALSE,"Cover";#N/A,#N/A,FALSE,"General Assumptions";#N/A,#N/A,FALSE,"Comments CCS";#N/A,#N/A,FALSE,"BS CSS";#N/A,#N/A,FALSE,"P&amp;L CSS";#N/A,#N/A,FALSE,"Cash Flow CSS";#N/A,#N/A,FALSE,"MBR CSS";#N/A,#N/A,FALSE,"Headcount - CSS";#N/A,#N/A,FALSE,"CSS MFG";#N/A,#N/A,FALSE,"CSS Distr ";#N/A,#N/A,FALSE,"CSS Inventory";#N/A,#N/A,FALSE,"Capital CSS"}</definedName>
    <definedName name="wrn.2_PCS._1" hidden="1">{#N/A,#N/A,FALSE,"Cover";#N/A,#N/A,FALSE,"General Assumptions";#N/A,#N/A,FALSE,"Comments CCS";#N/A,#N/A,FALSE,"BS CSS";#N/A,#N/A,FALSE,"P&amp;L CSS";#N/A,#N/A,FALSE,"Cash Flow CSS";#N/A,#N/A,FALSE,"MBR CSS";#N/A,#N/A,FALSE,"Headcount - CSS";#N/A,#N/A,FALSE,"CSS MFG";#N/A,#N/A,FALSE,"CSS Distr ";#N/A,#N/A,FALSE,"CSS Inventory";#N/A,#N/A,FALSE,"Capital CSS"}</definedName>
    <definedName name="wrn.2_PCS._2" hidden="1">{#N/A,#N/A,FALSE,"Cover";#N/A,#N/A,FALSE,"General Assumptions";#N/A,#N/A,FALSE,"Comments CCS";#N/A,#N/A,FALSE,"BS CSS";#N/A,#N/A,FALSE,"P&amp;L CSS";#N/A,#N/A,FALSE,"Cash Flow CSS";#N/A,#N/A,FALSE,"MBR CSS";#N/A,#N/A,FALSE,"Headcount - CSS";#N/A,#N/A,FALSE,"CSS MFG";#N/A,#N/A,FALSE,"CSS Distr ";#N/A,#N/A,FALSE,"CSS Inventory";#N/A,#N/A,FALSE,"Capital CSS"}</definedName>
    <definedName name="wrn.2_PCS._3" hidden="1">{#N/A,#N/A,FALSE,"Cover";#N/A,#N/A,FALSE,"General Assumptions";#N/A,#N/A,FALSE,"Comments CCS";#N/A,#N/A,FALSE,"BS CSS";#N/A,#N/A,FALSE,"P&amp;L CSS";#N/A,#N/A,FALSE,"Cash Flow CSS";#N/A,#N/A,FALSE,"MBR CSS";#N/A,#N/A,FALSE,"Headcount - CSS";#N/A,#N/A,FALSE,"CSS MFG";#N/A,#N/A,FALSE,"CSS Distr ";#N/A,#N/A,FALSE,"CSS Inventory";#N/A,#N/A,FALSE,"Capital CSS"}</definedName>
    <definedName name="wrn.2_PCS._4" hidden="1">{#N/A,#N/A,FALSE,"Cover";#N/A,#N/A,FALSE,"General Assumptions";#N/A,#N/A,FALSE,"Comments CCS";#N/A,#N/A,FALSE,"BS CSS";#N/A,#N/A,FALSE,"P&amp;L CSS";#N/A,#N/A,FALSE,"Cash Flow CSS";#N/A,#N/A,FALSE,"MBR CSS";#N/A,#N/A,FALSE,"Headcount - CSS";#N/A,#N/A,FALSE,"CSS MFG";#N/A,#N/A,FALSE,"CSS Distr ";#N/A,#N/A,FALSE,"CSS Inventory";#N/A,#N/A,FALSE,"Capital CSS"}</definedName>
    <definedName name="wrn.2_PCS._5" hidden="1">{#N/A,#N/A,FALSE,"Cover";#N/A,#N/A,FALSE,"General Assumptions";#N/A,#N/A,FALSE,"Comments CCS";#N/A,#N/A,FALSE,"BS CSS";#N/A,#N/A,FALSE,"P&amp;L CSS";#N/A,#N/A,FALSE,"Cash Flow CSS";#N/A,#N/A,FALSE,"MBR CSS";#N/A,#N/A,FALSE,"Headcount - CSS";#N/A,#N/A,FALSE,"CSS MFG";#N/A,#N/A,FALSE,"CSS Distr ";#N/A,#N/A,FALSE,"CSS Inventory";#N/A,#N/A,FALSE,"Capital CSS"}</definedName>
    <definedName name="wrn.2006._.Rate._.Case." hidden="1">{"DAB-1, Sch 21, Pg 1",#N/A,FALSE,"ELEC ENERGY";"DAB-1, Sch 21, Pg 2",#N/A,FALSE,"RTPDenverWater";"DAB-1, Sch 21, Pg 3",#N/A,FALSE,"INCREMENTAL - WHOLESALE"}</definedName>
    <definedName name="wrn.3_CIG." hidden="1">{#N/A,#N/A,FALSE,"Cover";#N/A,#N/A,FALSE,"General Assumptions";#N/A,#N/A,FALSE,"Comments CIG";#N/A,#N/A,FALSE,"BS CIG";#N/A,#N/A,FALSE,"P&amp;L CIG";#N/A,#N/A,FALSE,"Cash Flow CIG";#N/A,#N/A,FALSE,"MBR CIG";#N/A,#N/A,FALSE,"Headcount - CIG";#N/A,#N/A,FALSE,"CIG MFG";#N/A,#N/A,FALSE,"CIG Inventory";#N/A,#N/A,FALSE,"Capital CIG"}</definedName>
    <definedName name="wrn.3_CIG._1" hidden="1">{#N/A,#N/A,FALSE,"Cover";#N/A,#N/A,FALSE,"General Assumptions";#N/A,#N/A,FALSE,"Comments CIG";#N/A,#N/A,FALSE,"BS CIG";#N/A,#N/A,FALSE,"P&amp;L CIG";#N/A,#N/A,FALSE,"Cash Flow CIG";#N/A,#N/A,FALSE,"MBR CIG";#N/A,#N/A,FALSE,"Headcount - CIG";#N/A,#N/A,FALSE,"CIG MFG";#N/A,#N/A,FALSE,"CIG Inventory";#N/A,#N/A,FALSE,"Capital CIG"}</definedName>
    <definedName name="wrn.3_CIG._2" hidden="1">{#N/A,#N/A,FALSE,"Cover";#N/A,#N/A,FALSE,"General Assumptions";#N/A,#N/A,FALSE,"Comments CIG";#N/A,#N/A,FALSE,"BS CIG";#N/A,#N/A,FALSE,"P&amp;L CIG";#N/A,#N/A,FALSE,"Cash Flow CIG";#N/A,#N/A,FALSE,"MBR CIG";#N/A,#N/A,FALSE,"Headcount - CIG";#N/A,#N/A,FALSE,"CIG MFG";#N/A,#N/A,FALSE,"CIG Inventory";#N/A,#N/A,FALSE,"Capital CIG"}</definedName>
    <definedName name="wrn.3_CIG._3" hidden="1">{#N/A,#N/A,FALSE,"Cover";#N/A,#N/A,FALSE,"General Assumptions";#N/A,#N/A,FALSE,"Comments CIG";#N/A,#N/A,FALSE,"BS CIG";#N/A,#N/A,FALSE,"P&amp;L CIG";#N/A,#N/A,FALSE,"Cash Flow CIG";#N/A,#N/A,FALSE,"MBR CIG";#N/A,#N/A,FALSE,"Headcount - CIG";#N/A,#N/A,FALSE,"CIG MFG";#N/A,#N/A,FALSE,"CIG Inventory";#N/A,#N/A,FALSE,"Capital CIG"}</definedName>
    <definedName name="wrn.3_CIG._4" hidden="1">{#N/A,#N/A,FALSE,"Cover";#N/A,#N/A,FALSE,"General Assumptions";#N/A,#N/A,FALSE,"Comments CIG";#N/A,#N/A,FALSE,"BS CIG";#N/A,#N/A,FALSE,"P&amp;L CIG";#N/A,#N/A,FALSE,"Cash Flow CIG";#N/A,#N/A,FALSE,"MBR CIG";#N/A,#N/A,FALSE,"Headcount - CIG";#N/A,#N/A,FALSE,"CIG MFG";#N/A,#N/A,FALSE,"CIG Inventory";#N/A,#N/A,FALSE,"Capital CIG"}</definedName>
    <definedName name="wrn.3_CIG._5" hidden="1">{#N/A,#N/A,FALSE,"Cover";#N/A,#N/A,FALSE,"General Assumptions";#N/A,#N/A,FALSE,"Comments CIG";#N/A,#N/A,FALSE,"BS CIG";#N/A,#N/A,FALSE,"P&amp;L CIG";#N/A,#N/A,FALSE,"Cash Flow CIG";#N/A,#N/A,FALSE,"MBR CIG";#N/A,#N/A,FALSE,"Headcount - CIG";#N/A,#N/A,FALSE,"CIG MFG";#N/A,#N/A,FALSE,"CIG Inventory";#N/A,#N/A,FALSE,"Capital CIG"}</definedName>
    <definedName name="wrn.3cases." hidden="1">{#N/A,"Base",FALSE,"Dividend";#N/A,"Conservative",FALSE,"Dividend";#N/A,"Downside",FALSE,"Dividend"}</definedName>
    <definedName name="wrn.4_iDEN."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4_iDEN._1"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4_iDEN._2"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4_iDEN._3"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4_iDEN._4"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4_iDEN._5"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5_Total._.Back._.Up." hidden="1">{#N/A,#N/A,FALSE,"BACK UP CIG";#N/A,#N/A,FALSE,"BACK UP Balance FDM";#N/A,#N/A,FALSE,"BACK UP ASP nsad";#N/A,#N/A,FALSE,"BACK UP CORPORATE"}</definedName>
    <definedName name="wrn.5_Total._.Back._.Up._1" hidden="1">{#N/A,#N/A,FALSE,"BACK UP CIG";#N/A,#N/A,FALSE,"BACK UP Balance FDM";#N/A,#N/A,FALSE,"BACK UP ASP nsad";#N/A,#N/A,FALSE,"BACK UP CORPORATE"}</definedName>
    <definedName name="wrn.5_Total._.Back._.Up._2" hidden="1">{#N/A,#N/A,FALSE,"BACK UP CIG";#N/A,#N/A,FALSE,"BACK UP Balance FDM";#N/A,#N/A,FALSE,"BACK UP ASP nsad";#N/A,#N/A,FALSE,"BACK UP CORPORATE"}</definedName>
    <definedName name="wrn.5_Total._.Back._.Up._3" hidden="1">{#N/A,#N/A,FALSE,"BACK UP CIG";#N/A,#N/A,FALSE,"BACK UP Balance FDM";#N/A,#N/A,FALSE,"BACK UP ASP nsad";#N/A,#N/A,FALSE,"BACK UP CORPORATE"}</definedName>
    <definedName name="wrn.5_Total._.Back._.Up._4" hidden="1">{#N/A,#N/A,FALSE,"BACK UP CIG";#N/A,#N/A,FALSE,"BACK UP Balance FDM";#N/A,#N/A,FALSE,"BACK UP ASP nsad";#N/A,#N/A,FALSE,"BACK UP CORPORATE"}</definedName>
    <definedName name="wrn.5_Total._.Back._.Up._5" hidden="1">{#N/A,#N/A,FALSE,"BACK UP CIG";#N/A,#N/A,FALSE,"BACK UP Balance FDM";#N/A,#N/A,FALSE,"BACK UP ASP nsad";#N/A,#N/A,FALSE,"BACK UP CORPORATE"}</definedName>
    <definedName name="wrn.722." localSheetId="15" hidden="1">{#N/A,#N/A,FALSE,"CURRENT"}</definedName>
    <definedName name="wrn.722." localSheetId="25" hidden="1">{#N/A,#N/A,FALSE,"CURRENT"}</definedName>
    <definedName name="wrn.722." localSheetId="26" hidden="1">{#N/A,#N/A,FALSE,"CURRENT"}</definedName>
    <definedName name="wrn.722." hidden="1">{#N/A,#N/A,FALSE,"CURRENT"}</definedName>
    <definedName name="wrn.95cap." hidden="1">{#N/A,#N/A,FALSE,"95CAPGRY"}</definedName>
    <definedName name="wrn.96._.ju._.forecat." hidden="1">{#N/A,#N/A,FALSE,"Expenses";#N/A,#N/A,FALSE,"Revenue"}</definedName>
    <definedName name="wrn.97maint.xls." hidden="1">{#N/A,#N/A,TRUE,"TOTAL DISTRIBUTION";#N/A,#N/A,TRUE,"SOUTH";#N/A,#N/A,TRUE,"NORTHEAST";#N/A,#N/A,TRUE,"WEST"}</definedName>
    <definedName name="wrn.97OR.XLs." hidden="1">{#N/A,#N/A,TRUE,"TOTAL DSBN";#N/A,#N/A,TRUE,"WEST";#N/A,#N/A,TRUE,"SOUTH";#N/A,#N/A,TRUE,"NORTHEAST"}</definedName>
    <definedName name="wrn.Accounting._.May." hidden="1">{#N/A,#N/A,TRUE,"Sum(2)";#N/A,#N/A,TRUE,"bs";#N/A,#N/A,TRUE,"pnl";#N/A,#N/A,TRUE,"BY DEPT 9605";#N/A,#N/A,TRUE,"BY S/A 9605"}</definedName>
    <definedName name="wrn.Accretion." hidden="1">{"Accretion",#N/A,FALSE,"Assum"}</definedName>
    <definedName name="wrn.ACTUAL._.ALL._.PAGES." hidden="1">{"ACTUAL",#N/A,FALSE,"OVER_UND"}</definedName>
    <definedName name="wrn.Ad._.Sales._.Op._.Exp." hidden="1">{#N/A,#N/A,FALSE,"ADSALES"}</definedName>
    <definedName name="wrn.Aff._.Sales._.Oper._.Exp." hidden="1">{#N/A,#N/A,FALSE,"AFFSALES"}</definedName>
    <definedName name="wrn.AFUDC." hidden="1">{#N/A,#N/A,FALSE,"AFDC"}</definedName>
    <definedName name="wrn.Aging._.and._.Trend._.Analysis." hidden="1">{#N/A,#N/A,FALSE,"Aging Summary";#N/A,#N/A,FALSE,"Ratio Analysis";#N/A,#N/A,FALSE,"Test 120 Day Accts";#N/A,#N/A,FALSE,"Tickmarks"}</definedName>
    <definedName name="wrn.AGT." localSheetId="15" hidden="1">{"AGT",#N/A,FALSE,"Revenue"}</definedName>
    <definedName name="wrn.AGT." localSheetId="25" hidden="1">{"AGT",#N/A,FALSE,"Revenue"}</definedName>
    <definedName name="wrn.AGT." localSheetId="26" hidden="1">{"AGT",#N/A,FALSE,"Revenue"}</definedName>
    <definedName name="wrn.AGT." hidden="1">{"AGT",#N/A,FALSE,"Revenue"}</definedName>
    <definedName name="wrn.all." hidden="1">{"Factsheet",#N/A,FALSE,"Fact";"Earnings",#N/A,FALSE,"Earnings";"BalanceSheet",#N/A,FALSE,"BalanceSheet";"Balance Sheet Details",#N/A,FALSE,"BalanceSheet";"ChangeinCash",#N/A,FALSE,"CashFlow";"quarterly",#N/A,FALSE,"Quarters";"UpstrmNormalEngs",#N/A,FALSE,"NormEngUp";"NormalEngs",#N/A,FALSE,"NormalEngs";"NormalGrowth",#N/A,FALSE,"NormalGrowth";"US EP Earnings",#N/A,FALSE,"US E&amp;P";"US EP Price Vol detail",#N/A,FALSE,"US E&amp;P";"Canada EP Earnings",#N/A,FALSE,"Canada E&amp;P";"Canda EP Price Vol Detail",#N/A,FALSE,"Canada E&amp;P";"Europe EP Earnings",#N/A,FALSE,"Eur E&amp;P";"Europe EP Price Vol Detail",#N/A,FALSE,"Eur E&amp;P";"Other EP Earnings",#N/A,FALSE,"Other Foreign E&amp;P";"Other EP Price Vol Detail",#N/A,FALSE,"Other Foreign E&amp;P";"EP Summary",#N/A,FALSE,"E&amp;P Summary";"RnMEarnings",#N/A,FALSE,"R&amp;M ";"RM Operating Stats",#N/A,FALSE,"R&amp;M ";"Chemicals",#N/A,FALSE,"Chemical";"CapEx",#N/A,FALSE,"CAPEX Sum";"ROCE",#N/A,FALSE,"ROCE";"DCF",#N/A,FALSE,"DCFEVA";"Dupont",#N/A,FALSE,"Dupont";"NAV",#N/A,FALSE,"NAV";"QRating",#N/A,FALSE,"Q-Rating";"assumptions",#N/A,FALSE,"Assumptions"}</definedName>
    <definedName name="wrn.All._.Data." hidden="1">{"Fact Sheet",#N/A,FALSE,"Fact";"Earnings_Summary",#N/A,FALSE,"Earnings Model";"Earnings EP Detail",#N/A,FALSE,"Earnings Model";"Earnings RM Detail",#N/A,FALSE,"Earnings Model";"Qtr Earnings Model",#N/A,FALSE,"Quarters";"Balance Sheet",#N/A,FALSE,"Balance";"Balance Sheet Details",#N/A,FALSE,"Balance";"Change in Cash",#N/A,FALSE,"Change in Cash";"Ratios",#N/A,FALSE,"Ratios";"NAV",#N/A,FALSE,"NAV";"ROCE",#N/A,FALSE,"ROCE";"Dupont",#N/A,FALSE,"Dupont";"US EP Earn and Prof Analysis",#N/A,FALSE,"USE&amp;P ";"Can EP Earn and Prof Analysis",#N/A,FALSE,"Can E&amp;P";"Eur EP Earn and Prof Analysis",#N/A,FALSE,"Eur E&amp;P";"ASPAC EP Earn and Prof Analysis",#N/A,FALSE,"Asia-Pac E&amp;P";"NonCon EP Earn Prof Analysis",#N/A,FALSE,"Non-Con E&amp;P";"OG Production Sum",#N/A,FALSE,"E&amp;P Summary";"DCF Analysis",#N/A,FALSE,"DCF";"US EP DCF Valuation",#N/A,FALSE,"USE&amp;P ";"Can EP DCF Valuation",#N/A,FALSE,"Can E&amp;P";"Eur EP DCF Valuation",#N/A,FALSE,"Eur E&amp;P";"ASPAC EP DCF Valuation",#N/A,FALSE,"Asia-Pac E&amp;P";"NonCon EP DCF Valuation",#N/A,FALSE,"Non-Con E&amp;P";"US RM Earnings Summary",#N/A,FALSE,"US R&amp;M";"US RM Realization Data",#N/A,FALSE,"US R&amp;M";"For RM Earnings Detail",#N/A,FALSE,"Foreign R&amp;M";"For RM Real and Vol Detail",#N/A,FALSE,"Foreign R&amp;M";"US Chemical Summary",#N/A,FALSE,"USChem";"Foreign Chemical Summary",#N/A,FALSE,"ForChem";"Assume",#N/A,FALSE,"Assumptions"}</definedName>
    <definedName name="wrn.All._.Periods." hidden="1">{"Martin Oct93_Mar94",#N/A,FALSE,"Martin Oct93 - Mar94";"Martin Apr94_Sep94",#N/A,FALSE,"Martin Apr94 - Sep94";"Martin Oct94_Mar95",#N/A,FALSE,"Martin Oct94 - Mar95";"Martin Apr95_Sep95",#N/A,FALSE,"Martin Apr95 - Sep95";"Martin Oct95_Mar96",#N/A,FALSE,"Martin Oct95 - Mar96"}</definedName>
    <definedName name="wrn.All._.Sheets." hidden="1">{#N/A,#N/A,TRUE,"Blank";#N/A,#N/A,TRUE,"Report - Portrait";#N/A,#N/A,TRUE,"Report - Landscape";#N/A,#N/A,TRUE,"FAS87 Results"}</definedName>
    <definedName name="wrn.All_Package." hidden="1">{#N/A,#N/A,FALSE,"Comments PCS";#N/A,#N/A,FALSE,"Comments CIG";#N/A,#N/A,FALSE,"Comments IDEN";#N/A,#N/A,FALSE,"BS PCS";#N/A,#N/A,FALSE,"BS CIG";#N/A,#N/A,FALSE,"BS IDEN";#N/A,#N/A,FALSE,"BS TOTAL";#N/A,#N/A,FALSE,"P&amp;L PCS";#N/A,#N/A,FALSE,"P&amp;L CIG";#N/A,#N/A,FALSE,"P&amp;L FWT";#N/A,#N/A,FALSE,"P&amp;L IDEN";#N/A,#N/A,FALSE,"P&amp;L TOTAL";#N/A,#N/A,FALSE,"Cash Flow PCS";#N/A,#N/A,FALSE,"Cash Flow CIG";#N/A,#N/A,FALSE,"Cash Flow IDEN";#N/A,#N/A,FALSE,"Cash Flow Total";#N/A,#N/A,FALSE,"MBR PCS";#N/A,#N/A,FALSE,"MBR CIG";#N/A,#N/A,FALSE,"MBR iDEN";#N/A,#N/A,FALSE,"MBR_FWT";#N/A,#N/A,FALSE,"MBR TOTAL";#N/A,#N/A,FALSE,"Headcount PCS";#N/A,#N/A,FALSE,"Headcount CIG";#N/A,#N/A,FALSE,"Headcount iDEN";#N/A,#N/A,FALSE,"Headcount Total";#N/A,#N/A,FALSE,"FAB UN CSG ";#N/A,#N/A,FALSE,"FAB UN PPG";#N/A,#N/A,FALSE,"FAB UN CIG";#N/A,#N/A,FALSE,"FAB UN IDEN";#N/A,#N/A,FALSE,"FAB UN FWT";#N/A,#N/A,FALSE,"CSS MFG";#N/A,#N/A,FALSE,"CSS Distr";#N/A,#N/A,FALSE,"CSG 6-Up Charts";#N/A,#N/A,FALSE,"CIG MFG";#N/A,#N/A,FALSE,"IDEN MFG";#N/A,#N/A,FALSE,"IDEN 6-Up Charts  ";#N/A,#N/A,FALSE,"FWT MFG";#N/A,#N/A,FALSE,"FWT 6-Up Charts ";#N/A,#N/A,FALSE,"PCS Inventory";#N/A,#N/A,FALSE,"CIG Inventory";#N/A,#N/A,FALSE,"IDEN Inventory";#N/A,#N/A,FALSE,"CE JAG Inventory";#N/A,#N/A,FALSE,"Capital Expenditures";#N/A,#N/A,FALSE,"FM CSG";#N/A,#N/A,FALSE,"NSAD ASP CGS";#N/A,#N/A,FALSE,"FM CIG";#N/A,#N/A,FALSE,"NSAD ASP CIG";#N/A,#N/A,FALSE,"FM iDEN";#N/A,#N/A,FALSE,"NSAD IDEN";#N/A,#N/A,FALSE,"PCS Credit";#N/A,#N/A,FALSE,"R&amp;D  Report";#N/A,#N/A,FALSE,"CSG Mrg Analysis";#N/A,#N/A,FALSE,"CIG Mrg Analysis";#N/A,#N/A,FALSE,"IDEN Mrg Analysis"}</definedName>
    <definedName name="wrn.ALL_PERIODS." hidden="1">{"Oct93_Mar94",#N/A,TRUE,"Actuals (Oct 93 - Mar 94)";"Apr94_Sep94",#N/A,TRUE,"Actuals (Apr 94 - Sep 94)";"Oct94_Mar95",#N/A,TRUE,"Actuals (Oct 94 - Mar 95)";"Apr95_Sep95",#N/A,TRUE,"Actual Estimt (Apr 95 - Sep 95)";"Oct95_Mar96",#N/A,TRUE,"Estimates (Oct 95 - Mar 96)"}</definedName>
    <definedName name="wrn.Alles." hidden="1">{"Alles",#N/A,FALSE,"H A Ü"}</definedName>
    <definedName name="wrn.ancg." hidden="1">{"summary",#N/A,FALSE,"summary";"liabsumm",#N/A,FALSE,"liabsumm";"gl",#N/A,FALSE,"gl";"gl2",#N/A,FALSE,"gl2";"exp",#N/A,FALSE,"exp";"ancg_amort",#N/A,FALSE,"ancg_amort";"recon",#N/A,FALSE,"recon"}</definedName>
    <definedName name="wrn.AnnualRentRoll." hidden="1">{"AnnualRentRollPg1",#N/A,FALSE,"RentRoll";"AnnualRentRollPg2",#N/A,FALSE,"RentRoll"}</definedName>
    <definedName name="wrn.APAGE1." hidden="1">{"APAGE1",#N/A,FALSE,"JAN95_OU"}</definedName>
    <definedName name="wrn.APAGE2." hidden="1">{"APAGE2",#N/A,FALSE,"JAN95_OU"}</definedName>
    <definedName name="wrn.APAGE3." hidden="1">{"APAGE3",#N/A,FALSE,"JAN95_OU"}</definedName>
    <definedName name="wrn.Appendix._.for._.Quote." hidden="1">{#N/A,#N/A,FALSE,"Process Flowchart";#N/A,#N/A,FALSE,"Financial Assumptions";#N/A,#N/A,FALSE,"Profit &amp; Loss";#N/A,#N/A,FALSE,"DL Summary ";#N/A,#N/A,FALSE,"DL Worksheet";#N/A,#N/A,FALSE,"Indirect Cell";#N/A,#N/A,FALSE,"Capital";#N/A,#N/A,FALSE,"Tooling";#N/A,#N/A,FALSE,"Factory Committed";#N/A,#N/A,FALSE,"New Products";#N/A,#N/A,FALSE,"Process Validation"}</definedName>
    <definedName name="wrn.Apr94_Sep95." hidden="1">{"Apr95_Sep95",#N/A,FALSE,"Actual Estimt (Apr 95 - Sep 95)"}</definedName>
    <definedName name="wrn.Apr95_Sep95." hidden="1">{"Apr95_Sep95",#N/A,FALSE,"Actual~Estimt (Apr 95 - Sep 95)";"Apr95_Sep95",#N/A,FALSE,#N/A;"Apr95_Sep95",#N/A,FALSE,#N/A;"Apr95_Sep95",#N/A,FALSE,#N/A;"Apr95_Sep95",#N/A,FALSE,#N/A}</definedName>
    <definedName name="wrn.AR._.Meeting._.Schedules."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wrn.ARK._.JURIS._.FAC._.CALC." hidden="1">{"ARK_JURIS_FAC",#N/A,FALSE,"Ark_Fuel&amp;Rev"}</definedName>
    <definedName name="wrn.ARK._.JURIS._.FUEL._.COST." hidden="1">{"ARK_JURIS_FUEL",#N/A,FALSE,"Ark_Fuel&amp;Rev"}</definedName>
    <definedName name="wrn.Assumptions." hidden="1">{"Assumptions",#N/A,FALSE,"Assum"}</definedName>
    <definedName name="wrn.ATOKA._.FAC._.CALC." hidden="1">{"ATOKA_FAC",#N/A,FALSE,"Atoka"}</definedName>
    <definedName name="wrn.August._.1._.2003._.Rate._.Change." localSheetId="15"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25"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26"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Backup._.Corporate." hidden="1">{#N/A,#N/A,FALSE,"BACK UP CORPORATE"}</definedName>
    <definedName name="wrn.Backup._.Corporate._1" hidden="1">{#N/A,#N/A,FALSE,"BACK UP CORPORATE"}</definedName>
    <definedName name="wrn.Backup._.Corporate._2" hidden="1">{#N/A,#N/A,FALSE,"BACK UP CORPORATE"}</definedName>
    <definedName name="wrn.Backup._.Corporate._3" hidden="1">{#N/A,#N/A,FALSE,"BACK UP CORPORATE"}</definedName>
    <definedName name="wrn.Backup._.Corporate._4" hidden="1">{#N/A,#N/A,FALSE,"BACK UP CORPORATE"}</definedName>
    <definedName name="wrn.Backup._.Corporate._5" hidden="1">{#N/A,#N/A,FALSE,"BACK UP CORPORATE"}</definedName>
    <definedName name="wrn.Balance._.Sheet._.with._.details." hidden="1">{"Balance Sheet",#N/A,FALSE,"Balance";"Balance Sheet Details",#N/A,FALSE,"Balance"}</definedName>
    <definedName name="wrn.Basic." localSheetId="15" hidden="1">{#N/A,#N/A,FALSE,"O&amp;M by processes";#N/A,#N/A,FALSE,"Elec Act vs Bud";#N/A,#N/A,FALSE,"G&amp;A";#N/A,#N/A,FALSE,"BGS";#N/A,#N/A,FALSE,"Res Cost"}</definedName>
    <definedName name="wrn.Basic." localSheetId="25" hidden="1">{#N/A,#N/A,FALSE,"O&amp;M by processes";#N/A,#N/A,FALSE,"Elec Act vs Bud";#N/A,#N/A,FALSE,"G&amp;A";#N/A,#N/A,FALSE,"BGS";#N/A,#N/A,FALSE,"Res Cost"}</definedName>
    <definedName name="wrn.Basic." localSheetId="26" hidden="1">{#N/A,#N/A,FALSE,"O&amp;M by processes";#N/A,#N/A,FALSE,"Elec Act vs Bud";#N/A,#N/A,FALSE,"G&amp;A";#N/A,#N/A,FALSE,"BGS";#N/A,#N/A,FALSE,"Res Cost"}</definedName>
    <definedName name="wrn.Basic." hidden="1">{#N/A,#N/A,FALSE,"O&amp;M by processes";#N/A,#N/A,FALSE,"Elec Act vs Bud";#N/A,#N/A,FALSE,"G&amp;A";#N/A,#N/A,FALSE,"BGS";#N/A,#N/A,FALSE,"Res Cost"}</definedName>
    <definedName name="wrn.Board._.Forecast." hidden="1">{#N/A,#N/A,FALSE,"CONS";#N/A,#N/A,FALSE,"CONS-AN";#N/A,#N/A,FALSE,"CONS-INT";#N/A,#N/A,FALSE,"CONS-LWS";#N/A,#N/A,FALSE,"CONS-AFF";#N/A,#N/A,FALSE,"CONS-LMA";#N/A,#N/A,FALSE,"CONS-LP";#N/A,#N/A,FALSE,"KXAN";#N/A,#N/A,FALSE,"WANE";#N/A,#N/A,FALSE,"WAVY";#N/A,#N/A,FALSE,"WISH";#N/A,#N/A,FALSE,"WIVB";#N/A,#N/A,FALSE,"WLFI";#N/A,#N/A,FALSE,"WNLO";#N/A,#N/A,FALSE,"WOOD";#N/A,#N/A,FALSE,"WTNH";#N/A,#N/A,FALSE,"WWLP";#N/A,#N/A,FALSE,"WAPA";#N/A,#N/A,FALSE,"KNVA";#N/A,#N/A,FALSE,"WCTX";#N/A,#N/A,FALSE,"WOTV";#N/A,#N/A,FALSE,"WVBT";#N/A,#N/A,FALSE,"WXSP";#N/A,#N/A,FALSE,"WAND";#N/A,#N/A,FALSE,"iKXAN";#N/A,#N/A,FALSE,"iWANE";#N/A,#N/A,FALSE,"iWAPA";#N/A,#N/A,FALSE,"iWAVY";#N/A,#N/A,FALSE,"iWISH";#N/A,#N/A,FALSE,"iWIVB";#N/A,#N/A,FALSE,"iWOOD";#N/A,#N/A,FALSE,"iWTNH";#N/A,#N/A,FALSE,"iWWLP";#N/A,#N/A,FALSE,"iWCTX";#N/A,#N/A,FALSE,"WANE-LW";#N/A,#N/A,FALSE,"WAVY-LW";#N/A,#N/A,FALSE,"WISH-LW";#N/A,#N/A,FALSE,"CORP"}</definedName>
    <definedName name="wrn.Business._.Plan." hidden="1">{#N/A,#N/A,TRUE,"97 Sales by Quarter (New Order)";#N/A,#N/A,TRUE,"97 BPlan TOC";#N/A,#N/A,TRUE,"Sales by Month";#N/A,#N/A,TRUE,"94-97 Annual Units/ASP/NSAD";#N/A,#N/A,TRUE,"Total DDN P&amp;L";#N/A,#N/A,TRUE,"Total DDN Trend";#N/A,#N/A,TRUE,"Radio Modems P&amp;L";#N/A,#N/A,TRUE,"Radio Modems Trend";#N/A,#N/A,TRUE,"Eagle Datatac PM100D P&amp;L";#N/A,#N/A,TRUE,"Eagle Datatac PM100D Trend";#N/A,#N/A,TRUE,"Eagle CDPD PM100C P&amp;L";#N/A,#N/A,TRUE,"Eagle CDPD PM100C Trend";#N/A,#N/A,TRUE,"Grackle P&amp;L";#N/A,#N/A,TRUE,"Grackle Trend";#N/A,#N/A,TRUE,"Cost Per Unit";#N/A,#N/A,TRUE,"Appendices"}</definedName>
    <definedName name="wrn.BY._.YEAR." hidden="1">{#N/A,#N/A,FALSE,"Total";#N/A,#N/A,FALSE,"ASNS";#N/A,#N/A,FALSE,"PNCNS";#N/A,#N/A,FALSE,"DSNS";#N/A,#N/A,FALSE,"TNS"}</definedName>
    <definedName name="wrn.CAAP._.Report.JPG" hidden="1">{"Income Budget",#N/A,FALSE,"98 Income";"Running GAAP Budget Income",#N/A,FALSE,"98 Income";"GAAP Actual",#N/A,FALSE,"98 Income";"GAAP Varinance",#N/A,FALSE,"98 Income"}</definedName>
    <definedName name="wrn.calcs." hidden="1">{"calcs1",#N/A,FALSE,"Calcs";"calcs2",#N/A,FALSE,"Calcs"}</definedName>
    <definedName name="wrn.Cash._.Report." hidden="1">{"Cash Budget",#N/A,FALSE,"98 Cash";"Running Cash Budget",#N/A,FALSE,"98 Cash";"Actual Cash",#N/A,FALSE,"98 Cash";"Update Cash Budget",#N/A,FALSE,"98 Cash"}</definedName>
    <definedName name="wrn.Cash._.Report.JPG" hidden="1">{"Cash Budget",#N/A,FALSE,"98 Cash";"Running Cash Budget",#N/A,FALSE,"98 Cash";"Actual Cash",#N/A,FALSE,"98 Cash";"Update Cash Budget",#N/A,FALSE,"98 Cash"}</definedName>
    <definedName name="wrn.CBd750" hidden="1">{"CBd750-IP(FAS87)",#N/A,FALSE,"CBd750";"CBd750-Dyn(FAS87)",#N/A,FALSE,"CBd750";"CBd750-IP(G/L)",#N/A,FALSE,"CBd750";"CBd750-Dyn(G/L)",#N/A,FALSE,"CBd750";"CBd750-Both(Amort)",#N/A,FALSE,"CBd750"}</definedName>
    <definedName name="wrn.ChartSet." localSheetId="15" hidden="1">{#N/A,#N/A,FALSE,"Elec Deliv";#N/A,#N/A,FALSE,"Atlantic Pie";#N/A,#N/A,FALSE,"Bay Pie";#N/A,#N/A,FALSE,"New Castle Pie";#N/A,#N/A,FALSE,"Transmission Pie"}</definedName>
    <definedName name="wrn.ChartSet." localSheetId="25" hidden="1">{#N/A,#N/A,FALSE,"Elec Deliv";#N/A,#N/A,FALSE,"Atlantic Pie";#N/A,#N/A,FALSE,"Bay Pie";#N/A,#N/A,FALSE,"New Castle Pie";#N/A,#N/A,FALSE,"Transmission Pie"}</definedName>
    <definedName name="wrn.ChartSet." localSheetId="26" hidden="1">{#N/A,#N/A,FALSE,"Elec Deliv";#N/A,#N/A,FALSE,"Atlantic Pie";#N/A,#N/A,FALSE,"Bay Pie";#N/A,#N/A,FALSE,"New Castle Pie";#N/A,#N/A,FALSE,"Transmission Pie"}</definedName>
    <definedName name="wrn.ChartSet." hidden="1">{#N/A,#N/A,FALSE,"Elec Deliv";#N/A,#N/A,FALSE,"Atlantic Pie";#N/A,#N/A,FALSE,"Bay Pie";#N/A,#N/A,FALSE,"New Castle Pie";#N/A,#N/A,FALSE,"Transmission Pie"}</definedName>
    <definedName name="wrn.Chemical._.Summary." hidden="1">{"US Chemical Summary",#N/A,FALSE,"USChem";"Foreign Chemical Summary",#N/A,FALSE,"ForChem"}</definedName>
    <definedName name="wrn.CIG."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G._.Back._.up._.Files." hidden="1">{#N/A,#N/A,FALSE,"BACK UP CIG"}</definedName>
    <definedName name="wrn.CIG._.Back._.up._.Files._1" hidden="1">{#N/A,#N/A,FALSE,"BACK UP CIG"}</definedName>
    <definedName name="wrn.CIG._.Back._.up._.Files._2" hidden="1">{#N/A,#N/A,FALSE,"BACK UP CIG"}</definedName>
    <definedName name="wrn.CIG._.Back._.up._.Files._3" hidden="1">{#N/A,#N/A,FALSE,"BACK UP CIG"}</definedName>
    <definedName name="wrn.CIG._.Back._.up._.Files._4" hidden="1">{#N/A,#N/A,FALSE,"BACK UP CIG"}</definedName>
    <definedName name="wrn.CIG._.Back._.up._.Files._5" hidden="1">{#N/A,#N/A,FALSE,"BACK UP CIG"}</definedName>
    <definedName name="wrn.CIG.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G.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G.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G.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G.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PG._.All._.Sheets." hidden="1">{#N/A,#N/A,FALSE,"Cover";#N/A,#N/A,FALSE,"Commentary";#N/A,#N/A,FALSE,"key ind";#N/A,#N/A,FALSE,"CIG RSB";#N/A,#N/A,FALSE,"4-up charts p.1";#N/A,#N/A,FALSE,"4-up charts p.2";#N/A,#N/A,FALSE,"Q1 Markets";#N/A,#N/A,FALSE,"Annual Mkts";#N/A,#N/A,FALSE," rate of ? qtr";#N/A,#N/A,FALSE,"Detail Rel rate of ? ";#N/A,#N/A,FALSE,"Q1 Products";#N/A,#N/A,FALSE,"Annual Products";#N/A,#N/A,FALSE,"SMUG";#N/A,#N/A,FALSE,"IDL Budgets";#N/A,#N/A,FALSE,"HC Trend";#N/A,#N/A,FALSE,"Functional HC ";#N/A,#N/A,FALSE,"Capital Expd";#N/A,#N/A,FALSE,"Capital CO";#N/A,#N/A,FALSE,"Inventory"}</definedName>
    <definedName name="wrn.CIPG._.Black._.and._.White." hidden="1">{#N/A,#N/A,FALSE,"Cover";#N/A,#N/A,FALSE,"Commentary";#N/A,#N/A,FALSE,"key ind";#N/A,#N/A,FALSE,"CIG RSB";#N/A,#N/A,FALSE,"Q1 Markets";#N/A,#N/A,FALSE,"Annual Mkts";#N/A,#N/A,FALSE,"Q1 Products";#N/A,#N/A,FALSE,"Annual Products";#N/A,#N/A,FALSE,"SMUG";#N/A,#N/A,FALSE,"IDL Budgets";#N/A,#N/A,FALSE,"HC Trend";#N/A,#N/A,FALSE,"Functional HC ";#N/A,#N/A,FALSE,"Capital Expd";#N/A,#N/A,FALSE,"Capital CO"}</definedName>
    <definedName name="wrn.CIPG._.Color._.Charts." hidden="1">{#N/A,#N/A,FALSE,"4-up charts p.1";#N/A,#N/A,FALSE,"4-up charts p.2";#N/A,#N/A,FALSE," rate of ? qtr";#N/A,#N/A,FALSE,"Detail Rel rate of ? ";#N/A,#N/A,FALSE,"Inventory"}</definedName>
    <definedName name="wrn.ClientReport." hidden="1">{"Summary",#N/A,FALSE,"Summary";"Liabsumm",#N/A,FALSE,"Liabsumm";"Assets",#N/A,FALSE,"Assets";"GL",#N/A,FALSE,"GL";"GL2",#N/A,FALSE,"GL2";"amort",#N/A,FALSE,"amort";"Recon",#N/A,FALSE,"Recon";"FAS1321",#N/A,FALSE,"FAS1321";"FAS1322",#N/A,FALSE,"FAS1322"}</definedName>
    <definedName name="wrn.company." hidden="1">{"Earnings",#N/A,FALSE,"Earnings";"BalanceSheet",#N/A,FALSE,"BalanceSheet";"Change in Cash",#N/A,FALSE,"CashFlow";"normalengs",#N/A,FALSE,"NormalEngs";"US EP Profit and PerBbl",#N/A,FALSE,"US E&amp;P";"Canada EP Profit and PerBbl",#N/A,FALSE,"Canada E&amp;P";"Eur EP Price and Vol Detail",#N/A,FALSE,"Eur E&amp;P";"Other EP Price and Vol Detail",#N/A,FALSE,"Other Foreign E&amp;P";"RM Earnings",#N/A,FALSE,"R&amp;M ";"US Chemical Earnings",#N/A,FALSE,"Chemical";"CAPEX and Exploration",#N/A,FALSE,"CAPEX Sum";#N/A,#N/A,FALSE,"Assumptions"}</definedName>
    <definedName name="wrn.Complete._.Review." hidden="1">{#N/A,#N/A,FALSE,"Occ and Rate";#N/A,#N/A,FALSE,"PF Input";#N/A,#N/A,FALSE,"Capital Input";#N/A,#N/A,FALSE,"Proforma Five Yr";#N/A,#N/A,FALSE,"Calculations";#N/A,#N/A,FALSE,"Transaction Summary-DTW"}</definedName>
    <definedName name="wrn.Complete_Package."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wrn.Component._.Analy." hidden="1">{#N/A,#N/A,FALSE,"Results";#N/A,#N/A,FALSE,"Input Data";#N/A,#N/A,FALSE,"Generation Calculation";#N/A,#N/A,FALSE,"Unit Heat Rate Calculation";#N/A,#N/A,FALSE,"BEFF.XLS";#N/A,#N/A,FALSE,"TURBEFF.XLS";#N/A,#N/A,FALSE,"Final FWH Extraction Flow";#N/A,#N/A,FALSE,"Condenser Performance";#N/A,#N/A,FALSE,"Stage Pressure Correction"}</definedName>
    <definedName name="wrn.Condenser._.Summary." hidden="1">{#N/A,#N/A,FALSE,"SUMMARY";#N/A,#N/A,FALSE,"INPUTDATA";#N/A,#N/A,FALSE,"Condenser Performance"}</definedName>
    <definedName name="wrn.CONOCO._.FAC." hidden="1">{"CONOCO_FAC",#N/A,FALSE,"Conoco FAC"}</definedName>
    <definedName name="wrn.COST." hidden="1">{#N/A,#N/A,FALSE,"T COST";#N/A,#N/A,FALSE,"COST_FH"}</definedName>
    <definedName name="wrn.Cover_financials." hidden="1">{"Factsheet",#N/A,FALSE,"Fact";"Earnings",#N/A,FALSE,"Earnings";"BalanceSheet",#N/A,FALSE,"BalanceSheet";"Change in Cash",#N/A,FALSE,"CashFlow"}</definedName>
    <definedName name="wrn.cwip." hidden="1">{"CWIP2",#N/A,FALSE,"CWIP";"CWIP3",#N/A,FALSE,"CWIP"}</definedName>
    <definedName name="wrn.cwipa" hidden="1">{"CWIP2",#N/A,FALSE,"CWIP";"CWIP3",#N/A,FALSE,"CWIP"}</definedName>
    <definedName name="wrn.Data._.dump." localSheetId="15" hidden="1">{"Input Data",#N/A,FALSE,"Input";"Income and Cash Flow",#N/A,FALSE,"Calculations"}</definedName>
    <definedName name="wrn.Data._.dump." localSheetId="25" hidden="1">{"Input Data",#N/A,FALSE,"Input";"Income and Cash Flow",#N/A,FALSE,"Calculations"}</definedName>
    <definedName name="wrn.Data._.dump." localSheetId="26" hidden="1">{"Input Data",#N/A,FALSE,"Input";"Income and Cash Flow",#N/A,FALSE,"Calculations"}</definedName>
    <definedName name="wrn.Data._.dump." hidden="1">{"Input Data",#N/A,FALSE,"Input";"Income and Cash Flow",#N/A,FALSE,"Calculations"}</definedName>
    <definedName name="wrn.Deferral._.Forecast." localSheetId="15" hidden="1">{"Summary Deferral Forecast",#N/A,FALSE,"Deferral Forecast";"BGS Deferral Forecast",#N/A,FALSE,"BGS Deferral";"NNC Deferral Forecast",#N/A,FALSE,"NNC Deferral";"MTCDeferralForecast",#N/A,FALSE,"MTC Deferral";"SBC Deferral Forecast",#N/A,FALSE,"SBC Deferral"}</definedName>
    <definedName name="wrn.Deferral._.Forecast." localSheetId="25" hidden="1">{"Summary Deferral Forecast",#N/A,FALSE,"Deferral Forecast";"BGS Deferral Forecast",#N/A,FALSE,"BGS Deferral";"NNC Deferral Forecast",#N/A,FALSE,"NNC Deferral";"MTCDeferralForecast",#N/A,FALSE,"MTC Deferral";"SBC Deferral Forecast",#N/A,FALSE,"SBC Deferral"}</definedName>
    <definedName name="wrn.Deferral._.Forecast." localSheetId="26" hidden="1">{"Summary Deferral Forecast",#N/A,FALSE,"Deferral Forecast";"BGS Deferral Forecast",#N/A,FALSE,"BGS Deferral";"NNC Deferral Forecast",#N/A,FALSE,"NNC Deferral";"MTCDeferralForecast",#N/A,FALSE,"MTC Deferral";"SBC Deferral Forecast",#N/A,FALSE,"SBC Deferral"}</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Detail._.Support._.and._.Summary." hidden="1">{"Alloc Book Depr and Tax Depr",#N/A,FALSE,"OBO DEF TAX";"Ssh Ms Clo to PIS in Cur Mo",#N/A,FALSE,"OBO DEF TAX";"FPSC Book Depreciation",#N/A,FALSE,"OBO DEF TAX";"Ferc Book Depreciation",#N/A,FALSE,"OBO DEF TAX";"OBO Deferred Tax Sum",#N/A,FALSE,"OBO DEF TAX";"Tax Depr Tables",#N/A,FALSE,"OBO DEF TAX"}</definedName>
    <definedName name="wrn.Earn._.Model._.with._.Detail." hidden="1">{"Earnings_Summary",#N/A,FALSE,"Earnings Model";"Earnings EP Detail",#N/A,FALSE,"Earnings Model";"Earnings RM Detail",#N/A,FALSE,"Earnings Model"}</definedName>
    <definedName name="wrn.EARNINGS._.RELEASE." hidden="1">{#N/A,#N/A,FALSE,"Earnings release"}</definedName>
    <definedName name="wrn.Earnings._.Test."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FRT." hidden="1">{"EFRT Pg 1",#N/A,FALSE,"EFRT (2)";"EFRT Pg 2",#N/A,FALSE,"EFRT (2)"}</definedName>
    <definedName name="wrn.Engr._.Summary." hidden="1">{#N/A,#N/A,FALSE,"INPUTDATA";#N/A,#N/A,FALSE,"SUMMARY";#N/A,#N/A,FALSE,"CTAREP";#N/A,#N/A,FALSE,"CTBREP";#N/A,#N/A,FALSE,"TURBEFF";#N/A,#N/A,FALSE,"Condenser Performance"}</definedName>
    <definedName name="wrn.eoy." hidden="1">{"p1_0650",#N/A,FALSE,"disc1_0650";"p3_0650",#N/A,FALSE,"disc2_0650";"p1_0700",#N/A,FALSE,"disc1_0700";"p3_0700",#N/A,FALSE,"disc2_0700";"p1_0725",#N/A,FALSE,"disc1_0725";"p3_0725",#N/A,FALSE,"disc2_0725";"p2_0650",#N/A,FALSE,"pna1_0650";"p4_0650",#N/A,FALSE,"pna2_0650";"p2_0700",#N/A,FALSE,"pna1_0700";"p4_0700",#N/A,FALSE,"pna2_0700";"p2_0725",#N/A,FALSE,"pna1_0725";"p4_0725",#N/A,FALSE,"pna2_0725";"p5_0700",#N/A,FALSE,"apbo_plan_ANC_0700";"p6_0700",#N/A,FALSE,"apbo_plan_pppi_0700";"p5_0725",#N/A,FALSE,"apbo_plan_ANC_0725";"p6_0725",#N/A,FALSE,"apbo_plan_pppi_0725";"p5_0650",#N/A,FALSE,"apbo_plan_ANC_0650";"p6_0650",#N/A,FALSE,"apbo_plan_pppi_0650"}</definedName>
    <definedName name="wrn.eoy_disc." hidden="1">{"pna_disc_p1",#N/A,FALSE,"pna_disc_p1";"apbo_plan",#N/A,FALSE,"apbo_plan";"anc_disc_p1",#N/A,FALSE,"anc_disc_p1";"anc_disc_p2",#N/A,FALSE,"anc_disc_p2";"pna_disc_p2",#N/A,FALSE,"pna_disc_p2"}</definedName>
    <definedName name="wrn.EOY_Disc2" hidden="1">{"F132_1_6.50",#N/A,FALSE,"FAS132_7.25%";"F132_AML_6.50",#N/A,FALSE,"FAS132_7.25%";"F132_2_6.50",#N/A,FALSE,"FAS132_7.25%";"F132_AML_7.25",#N/A,FALSE,"FAS132_7.25%";"F132_2_7.25",#N/A,FALSE,"FAS132_7.25%";"F132_1_7.25",#N/A,FALSE,"FAS132_7.25%";"F132_AML_7.00",#N/A,FALSE,"FAS132_7.25%";"F132_2_7.00",#N/A,FALSE,"FAS132_7.25%";"F132_1_7.00",#N/A,FALSE,"FAS132_7.25%"}</definedName>
    <definedName name="wrn.eoypages." hidden="1">{"AR4",#N/A,FALSE,"act_liab_anc";"AR5",#N/A,FALSE,"act_liab_anc";"AR8",#N/A,FALSE,"act_liab_pppi";"AR9",#N/A,FALSE,"act_liab_pppi";"AR6",#N/A,FALSE,"inact_liab_anc";"AR7",#N/A,FALSE,"inact_liab_anc";"AR11",#N/A,FALSE,"inact_liab_pppi";"AR10",#N/A,FALSE,"inact_liab_pppi";"AR12",#N/A,FALSE,"risk_liab"}</definedName>
    <definedName name="wrn.EP._.DCF._.Valuation._.by._.Segment." hidden="1">{"US EP DCF Valuation",#N/A,FALSE,"USE&amp;P ";"Can EP DCF Valuation",#N/A,FALSE,"Can E&amp;P";"Eur EP DCF Valuation",#N/A,FALSE,"Eur E&amp;P";"ASPAC EP DCF Valuation",#N/A,FALSE,"Asia-Pac E&amp;P";"NonCon EP DCF Valuation",#N/A,FALSE,"Non-Con E&amp;P"}</definedName>
    <definedName name="wrn.ep._.details." hidden="1">{"us ep earnings",#N/A,FALSE,"US E&amp;P";"us ep price vol detail",#N/A,FALSE,"US E&amp;P";"fareast ep earnings",#N/A,FALSE,"Far East E&amp;P";"fareast ep price vol detail",#N/A,FALSE,"Far East E&amp;P";"other EP earnings",#N/A,FALSE,"Other E&amp;P";"other EP price vol detail",#N/A,FALSE,"Other E&amp;P"}</definedName>
    <definedName name="wrn.EP._.Earns._.Detail._.by._.Segment." hidden="1">{"US EP Earn and Prof Analysis",#N/A,FALSE,"US E&amp;P ";"Can EP Earn and Prof Analysis",#N/A,FALSE,"Can E&amp;P";"Eur EP Earn and Prof Analysis",#N/A,FALSE,"Eur E&amp;P";"ASPAC EP Earn and Prof Analysis",#N/A,FALSE,"Asia-Pac E&amp;P";"NonCon EP Earn Prof Analysis",#N/A,FALSE,"Non-Con E&amp;P";"OG Production Sum",#N/A,FALSE,"E&amp;P Summary"}</definedName>
    <definedName name="wrn.ERI2._.AIMR." hidden="1">{#N/A,#N/A,FALSE,"NA_Roll";#N/A,#N/A,FALSE,"NAV_recon";#N/A,#N/A,FALSE,"NII";#N/A,#N/A,FALSE,"Contrbtns";#N/A,#N/A,FALSE,"Distrbtns";#N/A,#N/A,FALSE,"QWAE";#N/A,#N/A,FALSE,"AWAE";#N/A,#N/A,FALSE,"Rtrns_bf_fees";#N/A,#N/A,FALSE,"Rtrns_aft_fees";#N/A,#N/A,FALSE,"Inc_bfr_fees";#N/A,#N/A,FALSE,"ERI-II Summary";#N/A,#N/A,FALSE,"ERI-II Fees"}</definedName>
    <definedName name="wrn.Estimated._.Tax._.Annualized._.Method." hidden="1">{#N/A,#N/A,FALSE,"Summary";#N/A,#N/A,FALSE,"Adj to Option C";#N/A,#N/A,FALSE,"Dividend Analysis";#N/A,#N/A,FALSE,"Reserve Analysis";#N/A,#N/A,FALSE,"Depreciation";#N/A,#N/A,FALSE,"Other Tax Adj"}</definedName>
    <definedName name="wrn.ET._.Schedules." hidden="1">{"ET Schedule 7",#N/A,FALSE,"Plant Adjustments";"ET Schedule 9",#N/A,FALSE,"SterlingStip";"ET Schedule 10",#N/A,FALSE,"Plant Adjustments";"ET Schedule 13",#N/A,FALSE,"Plant Adjustments";"ET Schedule 16",#N/A,FALSE,"DeferredTaxes"}</definedName>
    <definedName name="wrn.Exec._.Summary." hidden="1">{#N/A,#N/A,FALSE,"INPUTDATA";#N/A,#N/A,FALSE,"SUMMARY"}</definedName>
    <definedName name="wrn.Exec1._.Summary" hidden="1">{#N/A,#N/A,FALSE,"INPUTDATA";#N/A,#N/A,FALSE,"SUMMARY"}</definedName>
    <definedName name="wrn.ExitAndSalesAssumptions." hidden="1">{#N/A,#N/A,FALSE,"ExitStrategy"}</definedName>
    <definedName name="wrn.FAC._.SUMMARY." hidden="1">{"FAC_SUMMARY",#N/A,FALSE,"Summaries"}</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AS132." hidden="1">{"Disc_part1",#N/A,FALSE,"FAS132";"Disc_part2",#N/A,FALSE,"FAS132"}</definedName>
    <definedName name="wrn.Fas132.2" hidden="1">{"Disc_part1",#N/A,FALSE,"FAS132";"Disc_part2",#N/A,FALSE,"FAS132"}</definedName>
    <definedName name="wrn.FCB." hidden="1">{"FCB_ALL",#N/A,FALSE,"FCB"}</definedName>
    <definedName name="wrn.fcb2" hidden="1">{"FCB_ALL",#N/A,FALSE,"FCB"}</definedName>
    <definedName name="wrn.FERC._.FAC._.CALC." hidden="1">{"FERC_FAC",#N/A,FALSE,"FERC_Fuel&amp;Rev"}</definedName>
    <definedName name="wrn.FERC._.WEATHER._.and._.JURIS._.FUEL." hidden="1">{"FERC_WEATHER_AND_FUEL",#N/A,FALSE,"FERC_Fuel&amp;Rev"}</definedName>
    <definedName name="wrn.Filing." localSheetId="15"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25"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26"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nal._.Copies." hidden="1">{"PPPI FAS87",#N/A,FALSE,"PPPI";"GroupA",#N/A,FALSE,"GroupA";"GroupB",#N/A,FALSE,"GroupB";"GainLoss",#N/A,FALSE,"GainLoss1"}</definedName>
    <definedName name="wrn.FinalCopies." hidden="1">{"FinalAll-Dyn",#N/A,TRUE,"Total";"FinalPens-Dyn",#N/A,TRUE,"Pensions";"FinalOPEB-Dyn",#N/A,TRUE,"OPEB";"FinalAllRound-Dyn",#N/A,TRUE,"Total";"FinalAll-IP",#N/A,TRUE,"Total";"FinalPens-IP",#N/A,TRUE,"Pensions";"FinalAllRound-IP",#N/A,TRUE,"Total"}</definedName>
    <definedName name="wrn.Financials." hidden="1">{"Earnings",#N/A,FALSE,"Earnings";"BalanceSheet",#N/A,FALSE,"BalanceSheet";"Change in Cash",#N/A,FALSE,"CashFlow";"normalengs",#N/A,FALSE,"NormalEngs";"upstream normal per Bbl",#N/A,FALSE,"NormEngUp";"CAPEXsum",#N/A,FALSE,"CAPEX Sum"}</definedName>
    <definedName name="wrn.FOC._.Detail." hidden="1">{#N/A,#N/A,TRUE,"FOC_Product_Assumptions"}</definedName>
    <definedName name="wrn.For._.filling._.out._.assessments." localSheetId="15" hidden="1">{"Print Empty Template",#N/A,FALSE,"Input"}</definedName>
    <definedName name="wrn.For._.filling._.out._.assessments." localSheetId="25" hidden="1">{"Print Empty Template",#N/A,FALSE,"Input"}</definedName>
    <definedName name="wrn.For._.filling._.out._.assessments." localSheetId="26" hidden="1">{"Print Empty Template",#N/A,FALSE,"Input"}</definedName>
    <definedName name="wrn.For._.filling._.out._.assessments." hidden="1">{"Print Empty Template",#N/A,FALSE,"Input"}</definedName>
    <definedName name="wrn.For._.IR." hidden="1">{"Earnings",#N/A,TRUE,"Earnings";"qtr for IR",#N/A,TRUE,"Quarters";"balancesheet",#N/A,TRUE,"BalanceSheet";"change in cash",#N/A,TRUE,"CashFlow";"oil and gas earnings",#N/A,TRUE,"Oil and Gas Results";"price and vol detail",#N/A,TRUE,"Oil and Gas Results";"capexsum",#N/A,TRUE,"CAPEX Sum"}</definedName>
    <definedName name="wrn.for._.IR._.review." hidden="1">{"Earnings",#N/A,FALSE,"Earnings";"BalanceSheet",#N/A,FALSE,"BalanceSheet";"ChangeinCash",#N/A,FALSE,"CashFlow";"IR Production Sum",#N/A,FALSE,"E&amp;P Summary";"IR EPCost Sum",#N/A,FALSE,"E&amp;P Summary"}</definedName>
    <definedName name="wrn.For._.Merge." hidden="1">{"Earnings",#N/A,FALSE,"Earnings";"balancesheet",#N/A,FALSE,"BalanceSheet";"change in cash",#N/A,FALSE,"CashFlow";"oil and gas results",#N/A,FALSE,"Oil and Gas Earnings";"foreign oil and gas results",#N/A,FALSE,"Foreign O&amp;G";"oil and gas details",#N/A,FALSE,"Foreign O&amp;G";"capexsum",#N/A,FALSE,"CAPEX Sum"}</definedName>
    <definedName name="wrn.For._.Report." hidden="1">{"Factsheet",#N/A,FALSE,"Fact";"Earnings",#N/A,FALSE,"Earnings";"BalanceSheet",#N/A,FALSE,"BalanceSheet";"Change in Cash",#N/A,FALSE,"CashFlow";"Q Rating",#N/A,FALSE,"Q-Rating";"Dupont",#N/A,FALSE,"Dupont"}</definedName>
    <definedName name="wrn.FPL._.Cnsl._.Inc._.State._.Pg._.3A." hidden="1">{"FPL Consol Inc State Pg 3A",#N/A,FALSE,"ISFPLSUB"}</definedName>
    <definedName name="wrn.FPL._.Cnsl._.Inc._.State._.Pg._.3M." hidden="1">{"FPL Consol Inc State Pg 3M",#N/A,FALSE,"ISFPLSUB"}</definedName>
    <definedName name="wrn.FPL._.Cnsl._.Inc._.State._.Pg._.3Y." hidden="1">{"FPL Consol Inc State Pg 3Y",#N/A,FALSE,"ISFPLSUB"}</definedName>
    <definedName name="wrn.FPL._.Consolidated." hidden="1">{"Fpl Consol Pg 1",#N/A,FALSE,"FPL Consolidated";"FPL Consol Pg 2",#N/A,FALSE,"FPL Consolidated"}</definedName>
    <definedName name="wrn.Full._.Budget." hidden="1">{"Complete Budget",#N/A,FALSE,"Title";"Complete budget",#N/A,FALSE,"Accrual Summary";"Complete budget",#N/A,FALSE,"Accrual-Detail";"Complete budget",#N/A,FALSE,"Accrual-Captions";"Complete budget",#N/A,FALSE,"Accrual-GL Level";"Complete budget",#N/A,FALSE,"Cash Summary";"Complete budget",#N/A,FALSE,"Cash-Detail";"Complete budget",#N/A,FALSE,"Cash-Captions";"Complete budget",#N/A,FALSE,"Cash-GL Level";"Complete budget",#N/A,FALSE,"Production";"Complete budget",#N/A,FALSE,"5year support";"Complete budget",#N/A,FALSE,"Support";"Complete budget",#N/A,FALSE,"AvoidedCost";"Complete budget",#N/A,FALSE,"PowerPrices";"Complete budget",#N/A,FALSE,"GasPrices";"Complete budget",#N/A,FALSE,"Assumptions&amp;Notes";"Complete Budget",#N/A,FALSE,"Debt Covenants";"Complete Budget",#N/A,FALSE,"Accrual Analysis"}</definedName>
    <definedName name="wrn.Full._.Model." hidden="1">{#N/A,#N/A,FALSE,"Cover";"Factsheet",#N/A,FALSE,"Factsheet";"GPVM",#N/A,FALSE,"DDM";"normal growth",#N/A,FALSE,"Normal Growth";"Earnings",#N/A,FALSE,"Earnings";"interim model",#N/A,FALSE,"Interim";"balancesheet",#N/A,FALSE,"BalanceSheet";"balance sheet details",#N/A,FALSE,"BalanceSheet";"change in cash",#N/A,FALSE,"CashFlow";"UK oil and gas results",#N/A,FALSE,"UK Production";"Int. Oil and Gas Results",#N/A,FALSE,"International E&amp;P";"capexsum",#N/A,FALSE,"CAPEX Sum";"K",#N/A,FALSE,"Forecast K (2)"}</definedName>
    <definedName name="wrn.full._.print."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Full._.Report." hidden="1">{"Assumptions",#N/A,FALSE,"Sheet1";"Main Report",#N/A,FALSE,"Sheet1";"Results",#N/A,FALSE,"Sheet1";"Advances",#N/A,FALSE,"Sheet1"}</definedName>
    <definedName name="wrn.GAAP._.Report." hidden="1">{"Income Budget",#N/A,FALSE,"98 Income";"Running GAAP Budget Income",#N/A,FALSE,"98 Income";"GAAP Actual",#N/A,FALSE,"98 Income";"GAAP Varinance",#N/A,FALSE,"98 Income"}</definedName>
    <definedName name="wrn.go." hidden="1">{"wp_h4.2",#N/A,FALSE,"WP_H4.2";"wp_h4.3",#N/A,FALSE,"WP_H4.3"}</definedName>
    <definedName name="wrn.HAReport." hidden="1">{"Input1",#N/A,FALSE,"Input";"Input2",#N/A,FALSE,"Input";"Input3",#N/A,FALSE,"Input2";"Calc1",#N/A,FALSE,"Calcs";"Calc2",#N/A,FALSE,"Calcs";"Liabsumm",#N/A,FALSE,"Liabsumm";"Summary",#N/A,FALSE,"Summary";"GL",#N/A,FALSE,"GL";"GL2",#N/A,FALSE,"GL2";"amort",#N/A,FALSE,"amort";"Recon",#N/A,FALSE,"Recon";"FAS1321",#N/A,FALSE,"FAS1321";"FAS1322",#N/A,FALSE,"FAS1322"}</definedName>
    <definedName name="wrn.HASTAX." hidden="1">{#N/A,#N/A,FALSE,"Hastax"}</definedName>
    <definedName name="wrn.Headcount." hidden="1">{#N/A,#N/A,FALSE,"Headcount_PCS ";#N/A,#N/A,FALSE,"Headcount CIG";#N/A,#N/A,FALSE,"Headcount iDEN";#N/A,#N/A,FALSE,"JAG PLANT TREND"}</definedName>
    <definedName name="wrn.Headcount._1" hidden="1">{#N/A,#N/A,FALSE,"Headcount_PCS ";#N/A,#N/A,FALSE,"Headcount CIG";#N/A,#N/A,FALSE,"Headcount iDEN";#N/A,#N/A,FALSE,"JAG PLANT TREND"}</definedName>
    <definedName name="wrn.Headcount._2" hidden="1">{#N/A,#N/A,FALSE,"Headcount_PCS ";#N/A,#N/A,FALSE,"Headcount CIG";#N/A,#N/A,FALSE,"Headcount iDEN";#N/A,#N/A,FALSE,"JAG PLANT TREND"}</definedName>
    <definedName name="wrn.Headcount._3" hidden="1">{#N/A,#N/A,FALSE,"Headcount_PCS ";#N/A,#N/A,FALSE,"Headcount CIG";#N/A,#N/A,FALSE,"Headcount iDEN";#N/A,#N/A,FALSE,"JAG PLANT TREND"}</definedName>
    <definedName name="wrn.Headcount._4" hidden="1">{#N/A,#N/A,FALSE,"Headcount_PCS ";#N/A,#N/A,FALSE,"Headcount CIG";#N/A,#N/A,FALSE,"Headcount iDEN";#N/A,#N/A,FALSE,"JAG PLANT TREND"}</definedName>
    <definedName name="wrn.Headcount._5" hidden="1">{#N/A,#N/A,FALSE,"Headcount_PCS ";#N/A,#N/A,FALSE,"Headcount CIG";#N/A,#N/A,FALSE,"Headcount iDEN";#N/A,#N/A,FALSE,"JAG PLANT TREND"}</definedName>
    <definedName name="wrn.HLP._.Detail." localSheetId="15" hidden="1">{"2002 - 2006 Detail Income Statement",#N/A,FALSE,"TUB Income Statement wo DW";"BGS Deferral",#N/A,FALSE,"BGS Deferral";"NNC Deferral",#N/A,FALSE,"NNC Deferral";"MTC Deferral",#N/A,FALSE,"MTC Deferral";#N/A,#N/A,FALSE,"Schedule D"}</definedName>
    <definedName name="wrn.HLP._.Detail." localSheetId="25" hidden="1">{"2002 - 2006 Detail Income Statement",#N/A,FALSE,"TUB Income Statement wo DW";"BGS Deferral",#N/A,FALSE,"BGS Deferral";"NNC Deferral",#N/A,FALSE,"NNC Deferral";"MTC Deferral",#N/A,FALSE,"MTC Deferral";#N/A,#N/A,FALSE,"Schedule D"}</definedName>
    <definedName name="wrn.HLP._.Detail." localSheetId="26" hidden="1">{"2002 - 2006 Detail Income Statement",#N/A,FALSE,"TUB Income Statement wo DW";"BGS Deferral",#N/A,FALSE,"BGS Deferral";"NNC Deferral",#N/A,FALSE,"NNC Deferral";"MTC Deferral",#N/A,FALSE,"MTC Deferral";#N/A,#N/A,FALSE,"Schedule D"}</definedName>
    <definedName name="wrn.HLP._.Detail." hidden="1">{"2002 - 2006 Detail Income Statement",#N/A,FALSE,"TUB Income Statement wo DW";"BGS Deferral",#N/A,FALSE,"BGS Deferral";"NNC Deferral",#N/A,FALSE,"NNC Deferral";"MTC Deferral",#N/A,FALSE,"MTC Deferral";#N/A,#N/A,FALSE,"Schedule D"}</definedName>
    <definedName name="wrn.IDEN."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DEN._.Back._.up._.Files." hidden="1">{#N/A,#N/A,FALSE,"BACK UP Balance FDM";#N/A,#N/A,FALSE,"BACK UP ASP nsad"}</definedName>
    <definedName name="wrn.iDEN._.Back._.up._.Files._1" hidden="1">{#N/A,#N/A,FALSE,"BACK UP Balance FDM";#N/A,#N/A,FALSE,"BACK UP ASP nsad"}</definedName>
    <definedName name="wrn.iDEN._.Back._.up._.Files._2" hidden="1">{#N/A,#N/A,FALSE,"BACK UP Balance FDM";#N/A,#N/A,FALSE,"BACK UP ASP nsad"}</definedName>
    <definedName name="wrn.iDEN._.Back._.up._.Files._3" hidden="1">{#N/A,#N/A,FALSE,"BACK UP Balance FDM";#N/A,#N/A,FALSE,"BACK UP ASP nsad"}</definedName>
    <definedName name="wrn.iDEN._.Back._.up._.Files._4" hidden="1">{#N/A,#N/A,FALSE,"BACK UP Balance FDM";#N/A,#N/A,FALSE,"BACK UP ASP nsad"}</definedName>
    <definedName name="wrn.iDEN._.Back._.up._.Files._5" hidden="1">{#N/A,#N/A,FALSE,"BACK UP Balance FDM";#N/A,#N/A,FALSE,"BACK UP ASP nsad"}</definedName>
    <definedName name="wrn.IDEN._1"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DEN._2"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DEN._3"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DEN._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DEN._5"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pages." hidden="1">{"Input1",#N/A,FALSE,"Input";"Input2",#N/A,FALSE,"Input";"Input3",#N/A,FALSE,"Input"}</definedName>
    <definedName name="wrn.Investment._.Review." hidden="1">{#N/A,#N/A,FALSE,"Proforma Five Yr";#N/A,#N/A,FALSE,"Capital Input";#N/A,#N/A,FALSE,"Calculations";#N/A,#N/A,FALSE,"Transaction Summary-DTW"}</definedName>
    <definedName name="wrn.IPO._.Valuation." hidden="1">{"assumptions",#N/A,FALSE,"Scenario 1";"valuation",#N/A,FALSE,"Scenario 1"}</definedName>
    <definedName name="wrn.IR._.Review." hidden="1">{"Earnings",#N/A,FALSE,"Earnings";"US EP Earnings",#N/A,FALSE,"US E&amp;P";"CapEx",#N/A,FALSE,"CAPEX Sum";"qtr review for IR",#N/A,FALSE,"Quarters";"EP Summary",#N/A,FALSE,"E&amp;P Summary";"Canada EP Earnings",#N/A,FALSE,"Canada E&amp;P";"Europe EP Earnings",#N/A,FALSE,"Eur E&amp;P";"Other EP Earnings",#N/A,FALSE,"Other Foreign E&amp;P"}</definedName>
    <definedName name="wrn.Jeff._.Standalone." hidden="1">{#N/A,#N/A,TRUE,"Acquirer_Cases_Input";#N/A,#N/A,TRUE,"Acquirer_Input";#N/A,#N/A,TRUE,"Acquirer"}</definedName>
    <definedName name="wrn.Kontenverteilung." hidden="1">{"Kontenverteilung",#N/A,FALSE,"H A Ü"}</definedName>
    <definedName name="wrn.LANDMGMT." hidden="1">{#N/A,#N/A,FALSE,"CAP 1998";#N/A,#N/A,FALSE,"CAP 1999";#N/A,#N/A,FALSE,"CAP 2000";#N/A,#N/A,FALSE,"CAP_2001";#N/A,#N/A,FALSE,"CAP_2002";#N/A,#N/A,FALSE,"MAINT_1998";#N/A,#N/A,FALSE,"MAINT_1999";#N/A,#N/A,FALSE,"MAINT_2000";#N/A,#N/A,FALSE,"MAINT_2001";#N/A,#N/A,FALSE,"MAINT_2002"}</definedName>
    <definedName name="wrn.Laud._.Apr94._.Sep94." hidden="1">{"Apr94_Sep94",#N/A,FALSE,"Apr 94 - Sep 94"}</definedName>
    <definedName name="wrn.Laud._.Apr95._.Sep95." hidden="1">{"Apr95_Sep95",#N/A,FALSE,"Apr 95 - Sep 95"}</definedName>
    <definedName name="wrn.Laud._.Oct93._.Mar94." hidden="1">{"Oct93_Mar94",#N/A,FALSE,"Oct 93 - Mar 94"}</definedName>
    <definedName name="wrn.Laud._.Oct94._.Mar95." hidden="1">{"Oct94_Mar95",#N/A,FALSE,"Oct 94 - Mar 95"}</definedName>
    <definedName name="wrn.Laud._.Oct95._.Mar96." hidden="1">{"Oct95_Mar96",#N/A,FALSE,"Oct 95 - Mar 96"}</definedName>
    <definedName name="wrn.LBO._.Summary." hidden="1">{"LBO Summary",#N/A,FALSE,"Summary"}</definedName>
    <definedName name="wrn.LITIGATION." hidden="1">{"LI AFUDC DEBT 10282",#N/A,FALSE,"TXFORCST.XLS";"LIT AFUDC 10280",#N/A,FALSE,"TXFORCST.XLS";"LIT DEPR EXP 10281",#N/A,FALSE,"TXFORCST.XLS"}</definedName>
    <definedName name="wrn.LoanInformation." hidden="1">{"LoanSchedule",#N/A,FALSE,"LoanAssumptions";"LoanAssumptions",#N/A,FALSE,"LoanAssumptions"}</definedName>
    <definedName name="wrn.Long._.Report." hidden="1">{#N/A,#N/A,TRUE,"Cover";#N/A,#N/A,TRUE,"Header (ld)";#N/A,#N/A,TRUE,"T&amp;O By Region";#N/A,#N/A,TRUE,"Region Charts ";#N/A,#N/A,TRUE,"T&amp;O London";#N/A,#N/A,TRUE,"AD Report";#N/A,#N/A,TRUE,"Var by OU"}</definedName>
    <definedName name="wrn.Market._.Op._.Exp." hidden="1">{#N/A,#N/A,FALSE,"MARKET"}</definedName>
    <definedName name="wrn.Market._.Share._.Report." hidden="1">{#N/A,#N/A,FALSE,"Summary";#N/A,#N/A,FALSE,"CONS";#N/A,#N/A,FALSE,"Aff";#N/A,#N/A,FALSE,"LMA";#N/A,#N/A,FALSE,"WAPA";#N/A,#N/A,FALSE,"WISH";#N/A,#N/A,FALSE,"Hartford";#N/A,#N/A,FALSE,"WTNH";#N/A,#N/A,FALSE,"WCTX";#N/A,#N/A,FALSE,"Battle Creek";#N/A,#N/A,FALSE,"WOOD";#N/A,#N/A,FALSE,"WOTV";#N/A,#N/A,FALSE,"WXSP";#N/A,#N/A,FALSE,"Norfolk";#N/A,#N/A,FALSE,"WAVY";#N/A,#N/A,FALSE,"WVBT";#N/A,#N/A,FALSE,"Buffalo";#N/A,#N/A,FALSE,"WIVB";#N/A,#N/A,FALSE,"WNLO";#N/A,#N/A,FALSE,"Austin";#N/A,#N/A,FALSE,"KXAN";#N/A,#N/A,FALSE,"KNVA";#N/A,#N/A,FALSE,"WANE";#N/A,#N/A,FALSE,"WWLP";#N/A,#N/A,FALSE,"WLFI"}</definedName>
    <definedName name="wrn.Martin._.Apr94_Sep94." hidden="1">{"Martin Apr94_Sep94",#N/A,FALSE,"Martin Apr94 - Sep94"}</definedName>
    <definedName name="wrn.Martin._.Apr95_Sep95." hidden="1">{"Martin Apr95_Sep95",#N/A,FALSE,"Martin Apr95 - Sep95"}</definedName>
    <definedName name="wrn.Martin._.Oct93_Mar94." hidden="1">{"Martin Oct93_Mar94",#N/A,FALSE,"Martin Oct93 - Mar94"}</definedName>
    <definedName name="wrn.Martin._.Oct94_Mar95." hidden="1">{"Martin Oct94_Mar95",#N/A,FALSE,"Martin Oct94 - Mar95"}</definedName>
    <definedName name="wrn.Martin._.Oct95_Mar96." hidden="1">{"Martin Oct95_Mar96",#N/A,FALSE,"Martin Oct95 - Mar96"}</definedName>
    <definedName name="wrn.matdtl." hidden="1">{"MATALL",#N/A,FALSE,"Sheet4";"matclass",#N/A,FALSE,"Sheet4"}</definedName>
    <definedName name="wrn.matdtla" hidden="1">{"MATALL",#N/A,FALSE,"Sheet4";"matclass",#N/A,FALSE,"Sheet4"}</definedName>
    <definedName name="wrn.MBRS." hidden="1">{#N/A,#N/A,FALSE,"MBR PCS";#N/A,#N/A,FALSE,"MBR CIG";#N/A,#N/A,FALSE,"MBR iDEN";#N/A,#N/A,FALSE,"MBR_FWT";#N/A,#N/A,FALSE,"MBR TOTAL"}</definedName>
    <definedName name="wrn.MBRS._1" hidden="1">{#N/A,#N/A,FALSE,"MBR PCS";#N/A,#N/A,FALSE,"MBR CIG";#N/A,#N/A,FALSE,"MBR iDEN";#N/A,#N/A,FALSE,"MBR_FWT";#N/A,#N/A,FALSE,"MBR TOTAL"}</definedName>
    <definedName name="wrn.MBRS._2" hidden="1">{#N/A,#N/A,FALSE,"MBR PCS";#N/A,#N/A,FALSE,"MBR CIG";#N/A,#N/A,FALSE,"MBR iDEN";#N/A,#N/A,FALSE,"MBR_FWT";#N/A,#N/A,FALSE,"MBR TOTAL"}</definedName>
    <definedName name="wrn.MBRS._3" hidden="1">{#N/A,#N/A,FALSE,"MBR PCS";#N/A,#N/A,FALSE,"MBR CIG";#N/A,#N/A,FALSE,"MBR iDEN";#N/A,#N/A,FALSE,"MBR_FWT";#N/A,#N/A,FALSE,"MBR TOTAL"}</definedName>
    <definedName name="wrn.MBRS._4" hidden="1">{#N/A,#N/A,FALSE,"MBR PCS";#N/A,#N/A,FALSE,"MBR CIG";#N/A,#N/A,FALSE,"MBR iDEN";#N/A,#N/A,FALSE,"MBR_FWT";#N/A,#N/A,FALSE,"MBR TOTAL"}</definedName>
    <definedName name="wrn.MBRS._5" hidden="1">{#N/A,#N/A,FALSE,"MBR PCS";#N/A,#N/A,FALSE,"MBR CIG";#N/A,#N/A,FALSE,"MBR iDEN";#N/A,#N/A,FALSE,"MBR_FWT";#N/A,#N/A,FALSE,"MBR TOTAL"}</definedName>
    <definedName name="wrn.MFR."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MiniSum." hidden="1">{#N/A,#N/A,TRUE,"Facility-Input";#N/A,#N/A,TRUE,"Graphs";#N/A,#N/A,TRUE,"TOTAL"}</definedName>
    <definedName name="wrn.MonthlyRentRoll." hidden="1">{"MonthlyRentRoll",#N/A,FALSE,"RentRoll"}</definedName>
    <definedName name="wrn.new." hidden="1">{"Balance Sheet",#N/A,FALSE,"Balance";"Balance Sheet Details",#N/A,FALSE,"Balance";"Change in Cash",#N/A,FALSE,"Cashflow"}</definedName>
    <definedName name="wrn.NSS."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NSS._1"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NSS._2"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NSS._3"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NSS._4"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NSS._5"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OBO._.12._.MO._.ENDED." hidden="1">{"OBO 12 Month Ended",#N/A,FALSE,"OBO 12 Months"}</definedName>
    <definedName name="wrn.OBO._.MONTHLY." hidden="1">{"obo monthly",#N/A,FALSE,"OBO Monthly"}</definedName>
    <definedName name="wrn.OBO._.Summary." hidden="1">{"OBO Deferred Tax Sum",#N/A,FALSE,"OBO DEF TAX"}</definedName>
    <definedName name="wrn.Oct93_Mar94." hidden="1">{"Oct93_Mar94",#N/A,FALSE,"Actuals (Oct 93 - Mar 94)"}</definedName>
    <definedName name="wrn.Oct94_Mar95." hidden="1">{"Oct94_Mar95",#N/A,FALSE,"Actuals (Oct 94 - Mar 95)"}</definedName>
    <definedName name="wrn.Oct95_Mar96." hidden="1">{"Oct95_Mar96",#N/A,FALSE,"Estimates (Oct 95 - Mar 96)"}</definedName>
    <definedName name="wrn.OK._.FUEL._.COMPARISON." hidden="1">{"OK_FUEL_COMPARISON",#N/A,FALSE,"Ok_Fuel&amp;Rev"}</definedName>
    <definedName name="wrn.OK._.JURIS._.FAC._.CALCULATION." hidden="1">{"OK_JURIS_FAC",#N/A,FALSE,"Ok_Fuel&amp;Rev"}</definedName>
    <definedName name="wrn.OK._.JURIS._.FUEL._.COST." hidden="1">{"OK_JURIS_FUEL",#N/A,FALSE,"Ok_Fuel&amp;Rev"}</definedName>
    <definedName name="wrn.OKLA._.PRO._.FORMA._.FUEL." hidden="1">{"OK_PRO_FORMA_FUEL",#N/A,FALSE,"Ok_Fuel&amp;Rev"}</definedName>
    <definedName name="wrn.OMPA._.FAC." hidden="1">{"OMPA_FAC",#N/A,FALSE,"OMPA FAC"}</definedName>
    <definedName name="wrn.On._.Air._.Op._.Exp." hidden="1">{"view1",#N/A,FALSE,"ON AIR"}</definedName>
    <definedName name="wrn.OperatingAssumtions." hidden="1">{#N/A,#N/A,FALSE,"OperatingAssumptions"}</definedName>
    <definedName name="wrn.Operations._.Review." hidden="1">{#N/A,#N/A,FALSE,"Proforma Five Yr";#N/A,#N/A,FALSE,"Occ and Rate";#N/A,#N/A,FALSE,"PF Input";#N/A,#N/A,FALSE,"Hotcomps"}</definedName>
    <definedName name="wrn.OR09._.Budget._.Stuff." hidden="1">{#N/A,#N/A,FALSE,"8-14-03 Detail";#N/A,#N/A,FALSE,"FLA Comparisons";#N/A,#N/A,FALSE,"Budget Changes Summary ";#N/A,#N/A,FALSE,"Exec Summary"}</definedName>
    <definedName name="wrn.OTHER._.DATA." hidden="1">{"OTHER_DATA",#N/A,FALSE,"Ok_Fuel&amp;Rev"}</definedName>
    <definedName name="wrn.Out._.of._.Period." hidden="1">{"Out of Period",#N/A,FALSE,"Out of Period"}</definedName>
    <definedName name="wrn.Outlook._.Report." hidden="1">{#N/A,#N/A,FALSE,"Outlook for Month ";#N/A,#N/A,FALSE,"Risk for Month ";#N/A,#N/A,FALSE,"Upside for Month"}</definedName>
    <definedName name="wrn.PCS."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1"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2"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3"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4"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5"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CSG_PPG."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CS_CSG_PPG.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CS_CSG_PPG.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CS_CSG_PPG.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CS_CSG_PPG.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CS_CSG_PPG.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hase._.I." hidden="1">{#N/A,#N/A,FALSE,"Transaction Summary-DTW";#N/A,#N/A,FALSE,"Proforma Five Yr";#N/A,#N/A,FALSE,"Occ and Rate"}</definedName>
    <definedName name="wrn.PPAGE2." hidden="1">{"PPAGE2",#N/A,FALSE,"JAN95_OU"}</definedName>
    <definedName name="wrn.PPAGE3." hidden="1">{"PPAGE3",#N/A,FALSE,"JAN95_OU"}</definedName>
    <definedName name="wrn.PPJOURNAL._.ENTRY." hidden="1">{"PPDEFERREDBAL",#N/A,FALSE,"PRIOR PERIOD ADJMT";#N/A,#N/A,FALSE,"PRIOR PERIOD ADJMT";"PPJOURNALENTRY",#N/A,FALSE,"PRIOR PERIOD ADJMT"}</definedName>
    <definedName name="wrn.pppi." hidden="1">{"summary",#N/A,FALSE,"summary";"liabsumm",#N/A,FALSE,"liabsumm";"gl",#N/A,FALSE,"gl";"gl2",#N/A,FALSE,"gl2";"exp",#N/A,FALSE,"exp";"pppi_amort",#N/A,FALSE,"pppi_amort";"pppi_apbo_plan",#N/A,FALSE,"pppi_apbo_plan";"recon",#N/A,FALSE,"recon";"eoy_p1",#N/A,FALSE,"eoy_p1";"eoy_p2",#N/A,FALSE,"eoy_p2";"pppi_actliab",#N/A,FALSE,"pppi_actliab";"pppi_inactliab",#N/A,FALSE,"pppi_inactliab"}</definedName>
    <definedName name="wrn.PRELIMINARY._.ALL._.PAGES." hidden="1">{"PRELIMINARY",#N/A,FALSE,"MAR95_OU"}</definedName>
    <definedName name="wrn.Presentation." hidden="1">{#N/A,#N/A,TRUE,"Summary";#N/A,#N/A,TRUE,"ExitStrategy";"SalesAndConstruction",#N/A,TRUE,"cs";#N/A,#N/A,TRUE,"OperatingAssumptions";"PresentationRentRoll",#N/A,TRUE,"RentRoll"}</definedName>
    <definedName name="wrn.Price._.Details." hidden="1">{"WestHem EP Price and Vol Detail",#N/A,FALSE,"West Hemp - Other ";"Eur EP Price and Vol Detail",#N/A,FALSE,"Eur E&amp;P";"EastHem EP Price and Vol Detail",#N/A,FALSE,"East Hemp - Other";"Equity EP Price and Vol Detail",#N/A,FALSE,"Equity Affiliate EP";"Foreign RM Operating Stats",#N/A,FALSE,"Foreign R&amp;M"}</definedName>
    <definedName name="wrn.Print" hidden="1">{#N/A,#N/A,FALSE,"Input Data Sheet";#N/A,#N/A,FALSE,"NAV rollforward";#N/A,#N/A,FALSE,"Capital Roll - Spokes";#N/A,#N/A,FALSE,"Hastax"}</definedName>
    <definedName name="wrn.Print." hidden="1">{#N/A,#N/A,FALSE,"By Month";#N/A,#N/A,FALSE,"Rev By Month";"Print1",#N/A,FALSE,"NA Parts Reporting";"Print2",#N/A,FALSE,"NA Parts Reporting";"Print3",#N/A,FALSE,"NA Parts Reporting"}</definedName>
    <definedName name="wrn.Print._.All." hidden="1">{#N/A,#N/A,TRUE,"Input Data Sheet";#N/A,#N/A,TRUE,"Turnover";#N/A,#N/A,TRUE,"NSAR";#N/A,#N/A,TRUE,"NAV Rollforward";#N/A,#N/A,TRUE,"Ratios-HUB";#N/A,#N/A,TRUE,"Ratios-Marathon";#N/A,#N/A,TRUE,"Ratios - Traditional";#N/A,#N/A,TRUE,"Ratios - Classic";#N/A,#N/A,TRUE,"Ratios - Medallion Class A";#N/A,#N/A,TRUE,"Ratios - Medallion Class B";#N/A,#N/A,TRUE,"Share Proof-Marathon";#N/A,#N/A,TRUE,"Share Proof-Traditional";#N/A,#N/A,TRUE,"Share Proof - Classic";#N/A,#N/A,TRUE,"Share Proof - Medallion A";#N/A,#N/A,TRUE,"Share Proof - Medallion B";#N/A,#N/A,TRUE,"Per Share-Marathon";#N/A,#N/A,TRUE,"Per Share-Traditional";#N/A,#N/A,TRUE,"Per Share-Classic";#N/A,#N/A,TRUE,"Per Share-Medallion A";#N/A,#N/A,TRUE,"Per Share-Medallion B";#N/A,#N/A,TRUE,"Capital Roll - Hub";#N/A,#N/A,TRUE,"Capital Roll - Spokes";#N/A,#N/A,TRUE,"Hastax"}</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Classic." hidden="1">{#N/A,#N/A,FALSE,"Ratios - Classic";#N/A,#N/A,FALSE,"Share Proof - Classic";#N/A,#N/A,FALSE,"Per Share-Classic"}</definedName>
    <definedName name="wrn.print._.graphs." hidden="1">{"cap_structure",#N/A,FALSE,"Graph-Mkt Cap";"price",#N/A,FALSE,"Graph-Price";"ebit",#N/A,FALSE,"Graph-EBITDA";"ebitda",#N/A,FALSE,"Graph-EBITDA"}</definedName>
    <definedName name="wrn.Print._.Hub." hidden="1">{#N/A,#N/A,FALSE,"Input Data Sheet";#N/A,#N/A,FALSE,"Turnover";#N/A,#N/A,FALSE,"NSAR";#N/A,#N/A,FALSE,"Ratios-HUB";#N/A,#N/A,FALSE,"Capital Roll - Hub"}</definedName>
    <definedName name="wrn.Print._.Marathon." hidden="1">{#N/A,#N/A,FALSE,"Ratios-Marathon";#N/A,#N/A,FALSE,"Share Proof-Marathon";#N/A,#N/A,FALSE,"Per Share-Marathon"}</definedName>
    <definedName name="wrn.Print._.Medallion." hidden="1">{#N/A,#N/A,FALSE,"Ratios - Medallion Class A";#N/A,#N/A,FALSE,"Ratios - Medallion Class B";#N/A,#N/A,FALSE,"Share Proof - Medallion A";#N/A,#N/A,FALSE,"Share Proof - Medallion B";#N/A,#N/A,FALSE,"Per Share-Medallion A";#N/A,#N/A,FALSE,"Per Share-Medallion B"}</definedName>
    <definedName name="wrn.print._.raw._.data._.entry." hidden="1">{"inputs raw data",#N/A,TRUE,"INPUT"}</definedName>
    <definedName name="wrn.Print._.Spokes." hidden="1">{#N/A,#N/A,FALSE,"Input Data Sheet";#N/A,#N/A,FALSE,"NAV rollforward";#N/A,#N/A,FALSE,"Capital Roll - Spokes";#N/A,#N/A,FALSE,"Hastax"}</definedName>
    <definedName name="wrn.print._.summary._.sheets." hidden="1">{"summary1",#N/A,TRUE,"Comps";"summary2",#N/A,TRUE,"Comps";"summary3",#N/A,TRUE,"Comps"}</definedName>
    <definedName name="wrn.print._.summary._.sheets.2" hidden="1">{"summary1",#N/A,TRUE,"Comps";"summary2",#N/A,TRUE,"Comps";"summary3",#N/A,TRUE,"Comps"}</definedName>
    <definedName name="wrn.Print._.Traditional." hidden="1">{#N/A,#N/A,FALSE,"Ratios - Traditional";#N/A,#N/A,FALSE,"Share Proof-Traditional";#N/A,#N/A,FALSE,"Per Share-Traditional"}</definedName>
    <definedName name="wrn.print_all." hidden="1">{"Earnings",#N/A,FALSE,"Earnings";"BalanceSheet",#N/A,FALSE,"BalanceSheet";"ChangesinCash",#N/A,FALSE,"CashFlow";"Factsheet",#N/A,FALSE,"Factsheet";"Financial_Ratios",#N/A,FALSE,"CashFlow";"US_ENP_per_Bbl",#N/A,FALSE,"USE&amp;P";"USENP_DCF",#N/A,FALSE,"USE&amp;P";"Eur_ENP_per_Bbl",#N/A,FALSE,"EURE&amp;P";"EURENP_DCF",#N/A,FALSE,"EURE&amp;P";"Can_ENP_per_Bbl",#N/A,FALSE,"CAN&amp;OTHE&amp;P";"Can_ENP_DCF",#N/A,FALSE,"CAN&amp;OTHE&amp;P";"Other_ENP_per_Bbl",#N/A,FALSE,"CAN&amp;OTHE&amp;P";"Other_ENP_DCF",#N/A,FALSE,"CAN&amp;OTHE&amp;P";"Production_Summary",#N/A,FALSE,"E&amp;PSum";"Capital_Expends",#N/A,FALSE,"E&amp;PSum";"US_RNM_Engs",#N/A,FALSE,"USR&amp;M";"US_RNM_Operating_Stats",#N/A,FALSE,"USR&amp;M";"US_RNM_DCF",#N/A,FALSE,"USR&amp;M";"ROW_RNM_Earnings",#N/A,FALSE,"ROWR&amp;M";"ROW_RNM_Operating_Stats",#N/A,FALSE,"ROWR&amp;M";"ROW_RNM_DCF",#N/A,FALSE,"ROWR&amp;M";"Chemicals_Earnings",#N/A,FALSE,"Chemicals";"Benchmark_Price_Assumptions",#N/A,FALSE,"Assumptions";"Net_Asset_Value",#N/A,FALSE,"NAV";"Quarterly_Earnings",#N/A,FALSE,"Quarterly";"ROCE",#N/A,FALSE,"ROCE";"Dupont",#N/A,FALSE,"Dupont"}</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hidden="1">{"Factsheet",#N/A,FALSE,"Fact";"Earnings",#N/A,FALSE,"Earnings";"BalanceSheet",#N/A,FALSE,"BalanceSheet";"Balance Sheet Details",#N/A,FALSE,"BalanceSheet";"ChangeinCash",#N/A,FALSE,"CashFlow";"UpstrmNormalErngs",#N/A,FALSE,"NormEngUp";"NormalEngs",#N/A,FALSE,"NormalEngs";"NormalGrowth",#N/A,FALSE,"NormalGrowth";"US EP Earnings",#N/A,FALSE,"US E&amp;P";"US EP Price Vol Detail",#N/A,FALSE,"US E&amp;P";"International EP Earnings",#N/A,FALSE,"International E&amp;P";"International EP Price Vol Detail",#N/A,FALSE,"International E&amp;P";"ENPSummary",#N/A,FALSE,"E&amp;P Summary";"GPMEarnings",#N/A,FALSE,"GPM";"RMT Earnings",#N/A,FALSE,"RM&amp;T";"RMT Operating Details",#N/A,FALSE,"RM&amp;T";"Chemicals",#N/A,FALSE,"Chemicals";"CapexSummary",#N/A,FALSE,"CAPEX Sum";"quarterly",#N/A,FALSE,"Quarters";"ROCE",#N/A,FALSE,"ROCE";"NAV",#N/A,FALSE,"NAV";"DCF",#N/A,FALSE,"DCFEVA";"QRating",#N/A,FALSE,"Q-Rating";"Dupont",#N/A,FALSE,"Dupont";"assumptions",#N/A,FALSE,"Assumptions"}</definedName>
    <definedName name="wrn.PrintIt." hidden="1">{"Page1",#N/A,FALSE,"Page1";"Page2",#N/A,FALSE,"Page2";"Page3",#N/A,FALSE,"Pages34";"Page3b",#N/A,FALSE,"Pages34"}</definedName>
    <definedName name="wrn.PRIOR._.PERIOD._.ADJMT." hidden="1">{#N/A,#N/A,FALSE,"PRIOR PERIOD ADJMT"}</definedName>
    <definedName name="wrn.Production." hidden="1">{"Production",#N/A,FALSE,"Electric O&amp;M Functionalization"}</definedName>
    <definedName name="wrn.Proforma._.Review." hidden="1">{#N/A,#N/A,FALSE,"Occ and Rate";#N/A,#N/A,FALSE,"PF Input";#N/A,#N/A,FALSE,"Proforma Five Yr";#N/A,#N/A,FALSE,"Hotcomps"}</definedName>
    <definedName name="wrn.Project._.A." hidden="1">{"Proj Econ Summary",#N/A,FALSE,"Project A";"Income Statement",#N/A,FALSE,"Project A";"Cash Flow Statement",#N/A,FALSE,"Project A";"Balance Sheet",#N/A,FALSE,"Project A";"Scenario Summary (Proj A)",#N/A,FALSE,"Scenario Summary"}</definedName>
    <definedName name="wrn.Project._.Summary." hidden="1">{"Summary",#N/A,FALSE,"MICMULT";"Income Statement",#N/A,FALSE,"MICMULT";"Cash Flows",#N/A,FALSE,"MICMULT"}</definedName>
    <definedName name="wrn.PropertyInformation." hidden="1">{#N/A,#N/A,FALSE,"PropertyInfo"}</definedName>
    <definedName name="wrn.purch._.acct." hidden="1">{"Pre76 purch acct",#N/A,FALSE,"Input";"ACPI purch acct",#N/A,FALSE,"Input";"25 Yr Purch Acct",#N/A,FALSE,"Input";"RBEP Purch Acct.",#N/A,FALSE,"Input"}</definedName>
    <definedName name="wrn.QUARTER." hidden="1">{#N/A,#N/A,FALSE,"QTR Total";#N/A,#N/A,FALSE,"QTR ASNS";#N/A,#N/A,FALSE,"QTR PNCNS";#N/A,#N/A,FALSE,"QTR DSNS";#N/A,#N/A,FALSE,"QTR TNS"}</definedName>
    <definedName name="wrn.Reconcil._.Bk._.Depr._.to._.47G." hidden="1">{"By Account",#N/A,FALSE,"Reconcil Deprec Book to Tax   ";"Correction of JV 47G",#N/A,FALSE,"Reconcil Deprec Book to Tax   ";"Recalculation of JV 47G",#N/A,FALSE,"Reconcil Deprec Book to Tax   "}</definedName>
    <definedName name="wrn.Relevant."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port." localSheetId="15" hidden="1">{#N/A,#N/A,FALSE,"Work performed";#N/A,#N/A,FALSE,"Resources"}</definedName>
    <definedName name="wrn.Report." localSheetId="25" hidden="1">{#N/A,#N/A,FALSE,"Work performed";#N/A,#N/A,FALSE,"Resources"}</definedName>
    <definedName name="wrn.Report." localSheetId="26" hidden="1">{#N/A,#N/A,FALSE,"Work performed";#N/A,#N/A,FALSE,"Resources"}</definedName>
    <definedName name="wrn.Report." hidden="1">{#N/A,#N/A,FALSE,"Work performed";#N/A,#N/A,FALSE,"Resources"}</definedName>
    <definedName name="wrn.Research._.Op._.Exp." hidden="1">{#N/A,#N/A,FALSE,"RESEARCH"}</definedName>
    <definedName name="wrn.Return._.on._.Capital." hidden="1">{"Summary Schedule",#N/A,FALSE,"Sheet1";"Divisional Support",#N/A,FALSE,"Sheet2";"Corporate Support",#N/A,FALSE,"Sheet3"}</definedName>
    <definedName name="wrn.Revenue._.Analysis." localSheetId="15"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25"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26"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s." hidden="1">{"Base_rev",#N/A,FALSE,"Proj_IS_Base";"Projrev",#N/A,FALSE,"Proj_IS_wOTLC";"Delta",#N/A,FALSE,"Delta Rev_PV"}</definedName>
    <definedName name="wrn.Risk._.Reserves." hidden="1">{#N/A,#N/A,TRUE,"Reserves";#N/A,#N/A,TRUE,"Graphs"}</definedName>
    <definedName name="wrn.Riverwood_comp_model." hidden="1">{#N/A,#N/A,FALSE,"Che-Ga";#N/A,#N/A,FALSE,"Iv-Sm";#N/A,#N/A,FALSE,"So-We";#N/A,#N/A,FALSE,"Me-Po";#N/A,#N/A,FALSE,"Be-Bo";#N/A,#N/A,FALSE,"Cha-Ki";#N/A,#N/A,FALSE,"In";#N/A,#N/A,FALSE,"Schedule 23";#N/A,#N/A,FALSE,"Schedule 22";#N/A,#N/A,FALSE,"WACC"}</definedName>
    <definedName name="wrn.RM._.with._.details." hidden="1">{"US RM Earnings Summary",#N/A,FALSE,"US R&amp;M";"US RM Realization Data",#N/A,FALSE,"US R&amp;M";"For RM Earnings Detail",#N/A,FALSE,"Foreign R&amp;M";"For RM Real and Vol Detail",#N/A,FALSE,"Foreign R&amp;M"}</definedName>
    <definedName name="wrn.rprt." hidden="1">{#N/A,#N/A,FALSE,"A";#N/A,#N/A,FALSE,"B-1";#N/A,#N/A,FALSE,"WACC";#N/A,#N/A,FALSE,"C-1 ";#N/A,#N/A,FALSE,"C-2";#N/A,#N/A,FALSE,"D-1";#N/A,#N/A,FALSE,"D-2";#N/A,#N/A,FALSE,"D-3"}</definedName>
    <definedName name="wrn.RPT." hidden="1">{#N/A,#N/A,FALSE,"TOTFINAL";#N/A,#N/A,FALSE,"FINPLAN";#N/A,#N/A,FALSE,"TOTMOTADJ";#N/A,#N/A,FALSE,"tieEQ";#N/A,#N/A,FALSE,"G";#N/A,#N/A,FALSE,"ELIMS";#N/A,#N/A,FALSE,"NEXTEL ADJ";#N/A,#N/A,FALSE,"MIMS";#N/A,#N/A,FALSE,"LMPS";#N/A,#N/A,FALSE,"CNSS";#N/A,#N/A,FALSE,"CSS";#N/A,#N/A,FALSE,"MCG";#N/A,#N/A,FALSE,"AECS";#N/A,#N/A,FALSE,"SPS";#N/A,#N/A,FALSE,"CORP"}</definedName>
    <definedName name="wrn.Saldenliste." hidden="1">{"Saldenliste",#N/A,FALSE,"H A Ü"}</definedName>
    <definedName name="wrn.Scherer._.Apr95_Sep95." hidden="1">{"Schr Apr95_Oct95",#N/A,FALSE,"Scherer Apr95-Sep95"}</definedName>
    <definedName name="wrn.Scherer._.Oct94_Mar95." hidden="1">{"Schr Oct94_Mar95",#N/A,FALSE,"Scherer Oct94-Mar95"}</definedName>
    <definedName name="wrn.Scherer._.Oct95_Mar96." hidden="1">{"Schr Oct95_Mar96",#N/A,FALSE,"Scherer Oct95-Mar96"}</definedName>
    <definedName name="wrn.Segment._.1." hidden="1">{#N/A,#N/A,TRUE,"Segment 1"}</definedName>
    <definedName name="wrn.Segment._.2." hidden="1">{#N/A,#N/A,TRUE,"Segment 2"}</definedName>
    <definedName name="wrn.Segment._.3." hidden="1">{#N/A,#N/A,TRUE,"Segment 3"}</definedName>
    <definedName name="wrn.Segment._.4." hidden="1">{#N/A,#N/A,TRUE,"Segment 4"}</definedName>
    <definedName name="wrn.Segment._.5." hidden="1">{#N/A,#N/A,TRUE,"Segment 5"}</definedName>
    <definedName name="wrn.Short._.Report." hidden="1">{#N/A,#N/A,TRUE,"Cover";#N/A,#N/A,TRUE,"Header (eu)";#N/A,#N/A,TRUE,"Region Charts";#N/A,#N/A,TRUE,"T&amp;O By Region";#N/A,#N/A,TRUE,"AD Report"}</definedName>
    <definedName name="wrn.Snapshot." hidden="1">{#N/A,#N/A,TRUE,"Facility-Input";#N/A,#N/A,TRUE,"Graphs"}</definedName>
    <definedName name="wrn.SPA._.FAC." hidden="1">{"SPA_FAC",#N/A,FALSE,"OMPA SPA FAC"}</definedName>
    <definedName name="wrn.SRU._.CONDENSER." hidden="1">{#N/A,#N/A,FALSE,"HXSheet1";#N/A,#N/A,FALSE,"Sheet2";#N/A,#N/A,FALSE,"Sheet3";#N/A,#N/A,FALSE,"Sheet4"}</definedName>
    <definedName name="wrn.STAND_ALONE_BOTH." hidden="1">{"FCB_ALL",#N/A,FALSE,"FCB";"GREY_ALL",#N/A,FALSE,"GREY"}</definedName>
    <definedName name="wrn.Statement._.of._.Income._.Taxes." hidden="1">{"Consolidated",#N/A,FALSE,"SITRP";"FPL Pure",#N/A,FALSE,"SITRP";"FPL Subsidiaries Consol",#N/A,FALSE,"SITRP"}</definedName>
    <definedName name="wrn.Steves._.Model." hidden="1">{#N/A,#N/A,FALSE,"Income Statement";#N/A,#N/A,FALSE,"Quarter IS";#N/A,#N/A,FALSE,"US E&amp;P";#N/A,#N/A,FALSE,"International E&amp;P";#N/A,#N/A,FALSE,"Chemicals"}</definedName>
    <definedName name="wrn.sum." hidden="1">{"Opsys",#N/A,FALSE,"NPV_OPsys";"NT",#N/A,FALSE,"NPV_NT";"DevP",#N/A,FALSE,"NPV_DevPdt";"Office",#N/A,FALSE,"NPV_Office"}</definedName>
    <definedName name="wrn.SUM._.OF._.UNIT._.3." hidden="1">{#N/A,#N/A,FALSE,"INPUTDATA";#N/A,#N/A,FALSE,"SUMMARY";#N/A,#N/A,FALSE,"CTAREP";#N/A,#N/A,FALSE,"CTBREP";#N/A,#N/A,FALSE,"PMG4ST86";#N/A,#N/A,FALSE,"TURBEFF";#N/A,#N/A,FALSE,"Condenser Performance"}</definedName>
    <definedName name="wrn.Summary." hidden="1">{#N/A,#N/A,FALSE,"Summary"}</definedName>
    <definedName name="wrn.Summary._.Report_Ern_BS_CF." hidden="1">{"Fact Sheet",#N/A,FALSE,"Fact";"Earnings_Summary",#N/A,FALSE,"Earnings Model";"Balance Sheet",#N/A,FALSE,"Balance";"Change in Cash",#N/A,FALSE,"Cashflow";"normalengs",#N/A,FALSE,"NormalEngs";"NormalGrowth",#N/A,FALSE,"NormalGrowth"}</definedName>
    <definedName name="wrn.SUP."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2."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orting._.Calculations." localSheetId="15" hidden="1">{#N/A,#N/A,FALSE,"Work performed";#N/A,#N/A,FALSE,"Resources"}</definedName>
    <definedName name="wrn.Supporting._.Calculations." localSheetId="25" hidden="1">{#N/A,#N/A,FALSE,"Work performed";#N/A,#N/A,FALSE,"Resources"}</definedName>
    <definedName name="wrn.Supporting._.Calculations." localSheetId="26" hidden="1">{#N/A,#N/A,FALSE,"Work performed";#N/A,#N/A,FALSE,"Resources"}</definedName>
    <definedName name="wrn.Supporting._.Calculations." hidden="1">{#N/A,#N/A,FALSE,"Work performed";#N/A,#N/A,FALSE,"Resources"}</definedName>
    <definedName name="wrn.Tax._.Accrual." localSheetId="15" hidden="1">{#N/A,#N/A,TRUE,"TAXPROV";#N/A,#N/A,TRUE,"FLOWTHRU";#N/A,#N/A,TRUE,"SCHEDULE M'S";#N/A,#N/A,TRUE,"PLANT M'S";#N/A,#N/A,TRUE,"TAXJE"}</definedName>
    <definedName name="wrn.Tax._.Accrual." localSheetId="25" hidden="1">{#N/A,#N/A,TRUE,"TAXPROV";#N/A,#N/A,TRUE,"FLOWTHRU";#N/A,#N/A,TRUE,"SCHEDULE M'S";#N/A,#N/A,TRUE,"PLANT M'S";#N/A,#N/A,TRUE,"TAXJE"}</definedName>
    <definedName name="wrn.Tax._.Accrual." localSheetId="26" hidden="1">{#N/A,#N/A,TRUE,"TAXPROV";#N/A,#N/A,TRUE,"FLOWTHRU";#N/A,#N/A,TRUE,"SCHEDULE M'S";#N/A,#N/A,TRUE,"PLANT M'S";#N/A,#N/A,TRUE,"TAXJE"}</definedName>
    <definedName name="wrn.Tax._.Accrual." hidden="1">{#N/A,#N/A,TRUE,"TAXPROV";#N/A,#N/A,TRUE,"FLOWTHRU";#N/A,#N/A,TRUE,"SCHEDULE M'S";#N/A,#N/A,TRUE,"PLANT M'S";#N/A,#N/A,TRUE,"TAXJE"}</definedName>
    <definedName name="wrn.Template." hidden="1">{#N/A,#N/A,FALSE,"1_Executive Summary";#N/A,#N/A,FALSE,"2_Assumptions";#N/A,#N/A,FALSE,"3_Footnotes";#N/A,#N/A,FALSE,"4_Cash Flow";#N/A,#N/A,FALSE,"5_Exp Detail";#N/A,#N/A,FALSE,"6_Residual - Marketing";#N/A,#N/A,FALSE,"7_Residual Matrix";#N/A,#N/A,FALSE,"8_Pricing Matrix";#N/A,#N/A,FALSE,"9_Value Matrix";#N/A,#N/A,FALSE,"10_Vacancy Detail";#N/A,#N/A,FALSE,"12_Expiration Schedule";#N/A,#N/A,FALSE,"13_Exp Analysis Fixed-Var";#N/A,#N/A,FALSE,"14_Existing vs Mkt"}</definedName>
    <definedName name="wrn.test." hidden="1">{"test",#N/A,FALSE,"Dividend"}</definedName>
    <definedName name="wrn.Totals." hidden="1">{#N/A,#N/A,TRUE,"TOTAL";#N/A,#N/A,TRUE,"Total Pipes"}</definedName>
    <definedName name="wrn.Trans._.Op._.Exp." hidden="1">{#N/A,#N/A,FALSE,"TRANS"}</definedName>
    <definedName name="wrn.Transmission." hidden="1">{"Transmission",#N/A,FALSE,"Electric O&amp;M Functionalization"}</definedName>
    <definedName name="wrn.US._.EP._.with._.Price._.and._.Vol._.Detail." hidden="1">{"US EP Earn and Prof Analysis",#N/A,FALSE,"USE&amp;P ";"US EP Price Vol Detail",#N/A,FALSE,"USE&amp;P "}</definedName>
    <definedName name="wrn.UTIL." hidden="1">{"Twelve Mo Ended Pg 2",#N/A,TRUE,"Utility";"YTD Adj _ Pg 1",#N/A,TRUE,"Utility"}</definedName>
    <definedName name="wrn.Val_Report." hidden="1">{"Summary CY",#N/A,FALSE,"Summary";"Summary PY",#N/A,FALSE,"Summary";"recon_funded_status",#N/A,FALSE,"Accounting";"PE",#N/A,FALSE,"Accounting";"EXPE",#N/A,FALSE,"Accounting";"EXPAS",#N/A,FALSE,"Accounting";"EXPL",#N/A,FALSE,"Accounting"}</definedName>
    <definedName name="wrn.Val_Report.2" hidden="1">{"Summary CY",#N/A,FALSE,"Summary";"Summary PY",#N/A,FALSE,"Summary";"recon_funded_status",#N/A,FALSE,"Accounting";"PE",#N/A,FALSE,"Accounting";"EXPE",#N/A,FALSE,"Accounting";"EXPAS",#N/A,FALSE,"Accounting";"EXPL",#N/A,FALSE,"Accounting"}</definedName>
    <definedName name="wrn.Val_Report2" hidden="1">{"CUR",#N/A,FALSE,"Summary";"recon",#N/A,FALSE,"Accounting";"PE",#N/A,FALSE,"Accounting";"EXPE",#N/A,FALSE,"Accounting";"EXPAS",#N/A,FALSE,"Accounting";"EXPL",#N/A,FALSE,"Accounting"}</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e." hidden="1">{#N/A,#N/A,FALSE,"Cashflow Analysis";#N/A,#N/A,FALSE,"Sensitivity Analysis";#N/A,#N/A,FALSE,"PV";#N/A,#N/A,FALSE,"Pro Forma"}</definedName>
    <definedName name="wrn.WEATHER._.AND._.YR._.END._.CUST._.ADJ." hidden="1">{"WEATHER_CUSTOMERS",#N/A,FALSE,"Ok_Fuel&amp;Rev"}</definedName>
    <definedName name="wrn.Western._.District._.1997._.Capital._.Budget." hidden="1">{#N/A,#N/A,FALSE,"EXP97"}</definedName>
    <definedName name="wrn.WORKCAP." hidden="1">{"WCCWCLL",#N/A,FALSE,"Sheet3";"PP",#N/A,FALSE,"Sheet3";"MAT1",#N/A,FALSE,"Sheet3";"MAT2",#N/A,FALSE,"Sheet3"}</definedName>
    <definedName name="wrn.Workfile." hidden="1">{"PPPI FAS87 Workfile",#N/A,FALSE,"Input";"GroupBWorkfile",#N/A,FALSE,"Input";"GroupAWorkfile",#N/A,FALSE,"Input";"GainLoss",#N/A,FALSE,"GainLoss1"}</definedName>
    <definedName name="wrn.WorkfileCopies." hidden="1">{"PensWorkfile-Dyn",#N/A,TRUE,"Pensions";"PenWorkFile-IP",#N/A,TRUE,"Pensions";"OPEBWorkfile-Dyn",#N/A,TRUE,"OPEB";"OPEBWorkfile-IP",#N/A,TRUE,"OPEB";"Total-Dyn",#N/A,TRUE,"Total";"Total-IP",#N/A,TRUE,"Total"}</definedName>
    <definedName name="wrn_1" hidden="1">{#N/A,#N/A,FALSE,"Balance SPS";#N/A,#N/A,FALSE,"P&amp;L_SPS"}</definedName>
    <definedName name="wrn_2" hidden="1">{#N/A,#N/A,FALSE,"Balance SPS";#N/A,#N/A,FALSE,"P&amp;L_SPS"}</definedName>
    <definedName name="wrn_3" hidden="1">{#N/A,#N/A,FALSE,"Balance SPS";#N/A,#N/A,FALSE,"P&amp;L_SPS"}</definedName>
    <definedName name="wrn_4" hidden="1">{#N/A,#N/A,FALSE,"Balance SPS";#N/A,#N/A,FALSE,"P&amp;L_SPS"}</definedName>
    <definedName name="wrn_5" hidden="1">{#N/A,#N/A,FALSE,"Balance SPS";#N/A,#N/A,FALSE,"P&amp;L_SPS"}</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_1" hidden="1">{#N/A,#N/A,FALSE,"MBR PCS";#N/A,#N/A,FALSE,"MBR CIG";#N/A,#N/A,FALSE,"MBR iDEN";#N/A,#N/A,FALSE,"MBR_FWT";#N/A,#N/A,FALSE,"MBR TOTAL"}</definedName>
    <definedName name="wrn1_2" hidden="1">{#N/A,#N/A,FALSE,"MBR PCS";#N/A,#N/A,FALSE,"MBR CIG";#N/A,#N/A,FALSE,"MBR iDEN";#N/A,#N/A,FALSE,"MBR_FWT";#N/A,#N/A,FALSE,"MBR TOTAL"}</definedName>
    <definedName name="wrn1_3" hidden="1">{#N/A,#N/A,FALSE,"MBR PCS";#N/A,#N/A,FALSE,"MBR CIG";#N/A,#N/A,FALSE,"MBR iDEN";#N/A,#N/A,FALSE,"MBR_FWT";#N/A,#N/A,FALSE,"MBR TOTAL"}</definedName>
    <definedName name="wrn1_4" hidden="1">{#N/A,#N/A,FALSE,"MBR PCS";#N/A,#N/A,FALSE,"MBR CIG";#N/A,#N/A,FALSE,"MBR iDEN";#N/A,#N/A,FALSE,"MBR_FWT";#N/A,#N/A,FALSE,"MBR TOTAL"}</definedName>
    <definedName name="wrn1_5" hidden="1">{#N/A,#N/A,FALSE,"MBR PCS";#N/A,#N/A,FALSE,"MBR CIG";#N/A,#N/A,FALSE,"MBR iDEN";#N/A,#N/A,FALSE,"MBR_FWT";#N/A,#N/A,FALSE,"MBR TOTAL"}</definedName>
    <definedName name="wrn2.report" hidden="1">{#N/A,#N/A,FALSE,"P&amp;L";#N/A,#N/A,FALSE,"DL Worksheet";#N/A,#N/A,FALSE,"Ind. Cell";#N/A,#N/A,FALSE,"Capital";#N/A,#N/A,FALSE,"Tooling";#N/A,#N/A,FALSE,"LRP"}</definedName>
    <definedName name="wrna"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a_1"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a_2"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a_3"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a_4"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a_5"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c"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c_1"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c_2"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c_3"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c_4"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c_5"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e" hidden="1">{#N/A,#N/A,FALSE,"Headcount_PCS ";#N/A,#N/A,FALSE,"Headcount CIG";#N/A,#N/A,FALSE,"Headcount iDEN";#N/A,#N/A,FALSE,"JAG PLANT TREND"}</definedName>
    <definedName name="wrne_1" hidden="1">{#N/A,#N/A,FALSE,"Headcount_PCS ";#N/A,#N/A,FALSE,"Headcount CIG";#N/A,#N/A,FALSE,"Headcount iDEN";#N/A,#N/A,FALSE,"JAG PLANT TREND"}</definedName>
    <definedName name="wrne_2" hidden="1">{#N/A,#N/A,FALSE,"Headcount_PCS ";#N/A,#N/A,FALSE,"Headcount CIG";#N/A,#N/A,FALSE,"Headcount iDEN";#N/A,#N/A,FALSE,"JAG PLANT TREND"}</definedName>
    <definedName name="wrne_3" hidden="1">{#N/A,#N/A,FALSE,"Headcount_PCS ";#N/A,#N/A,FALSE,"Headcount CIG";#N/A,#N/A,FALSE,"Headcount iDEN";#N/A,#N/A,FALSE,"JAG PLANT TREND"}</definedName>
    <definedName name="wrne_4" hidden="1">{#N/A,#N/A,FALSE,"Headcount_PCS ";#N/A,#N/A,FALSE,"Headcount CIG";#N/A,#N/A,FALSE,"Headcount iDEN";#N/A,#N/A,FALSE,"JAG PLANT TREND"}</definedName>
    <definedName name="wrne_5" hidden="1">{#N/A,#N/A,FALSE,"Headcount_PCS ";#N/A,#N/A,FALSE,"Headcount CIG";#N/A,#N/A,FALSE,"Headcount iDEN";#N/A,#N/A,FALSE,"JAG PLANT TREND"}</definedName>
    <definedName name="WS">#REF!</definedName>
    <definedName name="wsxxx" hidden="1">{#N/A,#N/A,FALSE,"Total";#N/A,#N/A,FALSE,"ASNS";#N/A,#N/A,FALSE,"PNCNS";#N/A,#N/A,FALSE,"DSNS";#N/A,#N/A,FALSE,"TNS"}</definedName>
    <definedName name="wsxxxx" hidden="1">{#N/A,#N/A,FALSE,"QTR Total";#N/A,#N/A,FALSE,"QTR ASNS";#N/A,#N/A,FALSE,"QTR PNCNS";#N/A,#N/A,FALSE,"QTR DSNS";#N/A,#N/A,FALSE,"QTR TNS"}</definedName>
    <definedName name="WTG">#REF!</definedName>
    <definedName name="WTG_Erec_Per_Dy">#REF!</definedName>
    <definedName name="WTG_FND">#REF!</definedName>
    <definedName name="WTG_Hub_Ht_Eng">#REF!</definedName>
    <definedName name="WTG_Hub_Ht_Met">#REF!</definedName>
    <definedName name="WTG_Install">#REF!</definedName>
    <definedName name="WTG_kW_Output">#REF!</definedName>
    <definedName name="WTG_Params">#REF!</definedName>
    <definedName name="WTG_Precomm">#REF!</definedName>
    <definedName name="WTG_Qty">#REF!</definedName>
    <definedName name="WTG_rating7">#REF!</definedName>
    <definedName name="WTG_Rotor_Dia_Eng">#REF!</definedName>
    <definedName name="WTG_Rotor_Dia_Met">#REF!</definedName>
    <definedName name="WTG_Ship_Ocean">#REF!</definedName>
    <definedName name="WTG_Ship_Overland">#REF!</definedName>
    <definedName name="WTG_SU_Comm">#REF!</definedName>
    <definedName name="WTG_Twr_Ht_Eng">#REF!</definedName>
    <definedName name="WTG_Twr_Ht_Met">#REF!</definedName>
    <definedName name="WTG_TWR_MFG">#REF!</definedName>
    <definedName name="WTG_Vendor_Model">#REF!</definedName>
    <definedName name="wvi" hidden="1">{#N/A,#N/A,FALSE,"SUMMARY";#N/A,#N/A,FALSE,"INPUTDATA";#N/A,#N/A,FALSE,"Condenser Performance"}</definedName>
    <definedName name="wvo" hidden="1">{"EXCELHLP.HLP!1802";5;10;5;10;13;13;13;8;5;5;10;14;13;13;13;13;5;10;14;13;5;10;1;2;24}</definedName>
    <definedName name="wvu.Assumptions." hidden="1">{TRUE,TRUE,-1.25,-15.5,484.5,253.5,FALSE,FALSE,TRUE,TRUE,0,1,#N/A,1,3,14.8947368421053,2,3,FALSE,TRUE,3,TRUE,1,TRUE,80,"Swvu.Assumptions.","ACwvu.Assumptions.",#N/A,FALSE,FALSE,0.65,0.5,1.25,1,1,"","",TRUE,FALSE,FALSE,FALSE,1,#N/A,1,1,"=R1C1:R64C13",FALSE,"Rwvu.Assumptions.",#N/A,FALSE,FALSE,FALSE,1,#N/A,#N/A,FALSE,FALSE,TRUE,TRUE,TRUE}</definedName>
    <definedName name="wvu.capexsum." hidden="1">{TRUE,TRUE,-1.25,-15.5,604.5,343.5,FALSE,FALSE,TRUE,TRUE,0,1,2,1,4,1,3,4,TRUE,TRUE,3,TRUE,1,TRUE,85,"Swvu.capexsum.","ACwvu.capexsum.",#N/A,FALSE,FALSE,0.75,0.75,1,1,2,"","",TRUE,FALSE,FALSE,FALSE,1,100,#N/A,#N/A,"=R1C1:R24C12",FALSE,#N/A,#N/A,FALSE,FALSE,FALSE,1,#N/A,#N/A,FALSE,FALSE,TRUE,TRUE,TRUE}</definedName>
    <definedName name="wvu.DATABASE."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earnings." hidden="1">{TRUE,TRUE,-1.25,-15.5,604.5,343.5,FALSE,FALSE,TRUE,TRUE,0,1,2,1,5,1,4,4,TRUE,TRUE,3,TRUE,1,TRUE,85,"Swvu.earnings.","ACwvu.earnings.",#N/A,FALSE,FALSE,0.75,0.75,1,1,2,"","",TRUE,FALSE,FALSE,FALSE,1,#N/A,1,1,"=R1C1:R39C12",FALSE,#N/A,#N/A,FALSE,FALSE,FALSE,1,#N/A,#N/A,FALSE,FALSE,TRUE,TRUE,TRUE}</definedName>
    <definedName name="wvu.foreign._.oil._.and._.gas._.results." hidden="1">{TRUE,TRUE,-1.25,-15.5,604.5,343.5,FALSE,FALSE,TRUE,TRUE,0,1,#N/A,1,4,14.1666666666667,3,3,FALSE,TRUE,3,TRUE,1,TRUE,85,"Swvu.foreign._.oil._.and._.gas._.results.","ACwvu.foreign._.oil._.and._.gas._.results.",#N/A,FALSE,FALSE,0.75,0.75,1,1,1,"","",TRUE,FALSE,FALSE,FALSE,1,#N/A,1,1,"=R1C1:R56C11","=R1:R3",#N/A,#N/A,FALSE,FALSE,FALSE,1,#N/A,#N/A,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normal._.growth." hidden="1">{TRUE,TRUE,-1.25,-15.5,604.5,343.5,FALSE,FALSE,TRUE,TRUE,0,1,#N/A,1,#N/A,11.0357142857143,23.5294117647059,1,FALSE,FALSE,3,TRUE,1,FALSE,100,"Swvu.normal._.growth.","ACwvu.normal._.growth.",#N/A,FALSE,FALSE,0.75,0.75,1,1,1,"","",TRUE,FALSE,FALSE,FALSE,1,#N/A,1,1,"=R1C1:R20C3",FALSE,#N/A,#N/A,FALSE,FALSE,FALSE,1,#N/A,#N/A,FALSE,FALSE,TRUE,TRUE,TRUE}</definedName>
    <definedName name="wvu.oil._.and._.gas._.details." hidden="1">{TRUE,TRUE,-1.25,-15.5,604.5,343.5,FALSE,FALSE,TRUE,TRUE,0,1,#N/A,1,35,14.1666666666667,3,3,FALSE,TRUE,3,TRUE,1,TRUE,85,"Swvu.oil._.and._.gas._.details.","ACwvu.oil._.and._.gas._.details.",#N/A,FALSE,FALSE,0.75,0.75,1,1,1,"","",TRUE,FALSE,FALSE,FALSE,1,#N/A,1,1,"=R1C1:R59C11","=R1:R3",#N/A,#N/A,FALSE,FALSE,FALSE,1,#N/A,#N/A,FALSE,FALSE,TRUE,TRUE,TRUE}</definedName>
    <definedName name="wvu.OP."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qtr._.earnings._.model." hidden="1">{TRUE,TRUE,-1.25,-15.5,604.5,343.5,FALSE,FALSE,TRUE,TRUE,0,1,5,1,5,1,4,4,TRUE,TRUE,3,TRUE,1,TRUE,80,"Swvu.qtr._.earnings._.model.","ACwvu.qtr._.earnings._.model.",#N/A,FALSE,FALSE,0.65,0.5,1.25,1,2,"","",TRUE,FALSE,FALSE,FALSE,1,#N/A,1,1,"=R1C1:R36C16",FALSE,#N/A,#N/A,FALSE,FALSE,FALSE,1,#N/A,#N/A,FALSE,FALSE,TRUE,TRUE,TRUE}</definedName>
    <definedName name="wvu.qtr._.for._.IR." hidden="1">{TRUE,TRUE,-1.25,-15.5,604.5,343.5,FALSE,FALSE,TRUE,TRUE,0,1,2,1,13,1,4,4,TRUE,TRUE,3,TRUE,1,TRUE,80,"Swvu.qtr._.for._.IR.","ACwvu.qtr._.for._.IR.",#N/A,FALSE,FALSE,0.65,0.5,1.25,1,2,"","",TRUE,FALSE,FALSE,FALSE,1,#N/A,1,1,"=R1C1:R33C11",FALSE,#N/A,#N/A,FALSE,FALSE,FALSE,1,#N/A,#N/A,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Table." hidden="1">{TRUE,TRUE,-1.25,-21.5,964.5,725.25,FALSE,FALSE,TRUE,FALSE,35,3,22,1,#N/A,14.0676691729323,49.5294117647059,1,TRUE,FALSE,3,FALSE,1,FALSE,100,"Swvu.Table.","ACwvu.Table.",#N/A,FALSE,FALSE,0.75,0.75,1,1,1,"&amp;A","Page &amp;P",FALSE,FALSE,FALSE,FALSE,1,70,#N/A,#N/A,FALSE,FALSE,"Rwvu.Table.",#N/A,FALSE,FALSE,TRUE,1,65532,65532,FALSE,FALSE,FALSE,FALSE,FALSE}</definedName>
    <definedName name="wvu.WP1." hidden="1">{TRUE,TRUE,-1.25,-15.5,484.5,279.75,FALSE,FALSE,TRUE,TRUE,0,3,#N/A,1,#N/A,6.54545454545454,15.55,1,FALSE,FALSE,3,TRUE,1,FALSE,100,"Swvu.WP1.","ACwvu.WP1.",1,FALSE,FALSE,0.25,0.25,0.25,0.25,1,"","&amp;L&amp;D &amp;T NBW&amp;C&amp;P&amp;R&amp;F",FALSE,FALSE,FALSE,FALSE,1,100,#N/A,#N/A,FALSE,FALSE,#N/A,#N/A,FALSE,FALSE}</definedName>
    <definedName name="ww" hidden="1">{"Alles",#N/A,FALSE,"H A Ü"}</definedName>
    <definedName name="ww.Rele" hidden="1">{#N/A,#N/A,FALSE,"Title Page";#N/A,#N/A,FALSE,"Conclusions";#N/A,#N/A,FALSE,"Assum.";#N/A,#N/A,FALSE,"Sun  DCF-WC-Dep";#N/A,#N/A,FALSE,"MarketValue";#N/A,#N/A,FALSE,"BalSheet";#N/A,#N/A,FALSE,"WACC";#N/A,#N/A,FALSE,"PC+ Info.";#N/A,#N/A,FALSE,"PC+Info_2"}</definedName>
    <definedName name="www" hidden="1">{"Kontenverteilung",#N/A,FALSE,"H A Ü"}</definedName>
    <definedName name="x" hidden="1">{#N/A,#N/A,FALSE,"Earnings release"}</definedName>
    <definedName name="Xcel">#REF!</definedName>
    <definedName name="Xcel_COS">#REF!</definedName>
    <definedName name="XLRG_GE">#REF!</definedName>
    <definedName name="XLRG_GJ">#REF!</definedName>
    <definedName name="XREF_COLUMN_1" hidden="1">#REF!</definedName>
    <definedName name="XREF_COLUMN_2" hidden="1">#REF!</definedName>
    <definedName name="XREF_COLUMN_3" hidden="1">#REF!</definedName>
    <definedName name="XREF_COLUMN_4" hidden="1">#REF!</definedName>
    <definedName name="XREF_COLUMN_5" hidden="1">#REF!</definedName>
    <definedName name="XRefActiveRow" hidden="1">#REF!</definedName>
    <definedName name="XRefColumnsCount" hidden="1">5</definedName>
    <definedName name="XRefCopy1" hidden="1">#REF!</definedName>
    <definedName name="XRefCopy1Row" hidden="1">#REF!</definedName>
    <definedName name="XRefCopy2"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#REF!</definedName>
    <definedName name="XRefCopy7" hidden="1">#REF!</definedName>
    <definedName name="XRefCopy7Row" hidden="1">#REF!</definedName>
    <definedName name="XRefCopyRangeCount" hidden="1">6</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Row" hidden="1">#REF!</definedName>
    <definedName name="XRefPaste2" hidden="1">#REF!</definedName>
    <definedName name="XRefPaste2Row" hidden="1">#REF!</definedName>
    <definedName name="XRefPaste3Row" hidden="1">#REF!</definedName>
    <definedName name="XRefPaste4" hidden="1">#REF!</definedName>
    <definedName name="XRefPaste4Row"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15</definedName>
    <definedName name="XTO_NTG_Allocation">#REF!</definedName>
    <definedName name="xx" hidden="1">{2;#N/A;"R13C16:R17C16";#N/A;"R13C14:R17C15";FALSE;FALSE;FALSE;95;#N/A;#N/A;"R13C19";#N/A;FALSE;FALSE;FALSE;FALSE;#N/A;"";#N/A;FALSE;"";"";#N/A;#N/A;#N/A}</definedName>
    <definedName name="xxx" localSheetId="15" hidden="1">{#N/A,#N/A,FALSE,"O&amp;M by processes";#N/A,#N/A,FALSE,"Elec Act vs Bud";#N/A,#N/A,FALSE,"G&amp;A";#N/A,#N/A,FALSE,"BGS";#N/A,#N/A,FALSE,"Res Cost"}</definedName>
    <definedName name="xxx" localSheetId="25" hidden="1">{#N/A,#N/A,FALSE,"O&amp;M by processes";#N/A,#N/A,FALSE,"Elec Act vs Bud";#N/A,#N/A,FALSE,"G&amp;A";#N/A,#N/A,FALSE,"BGS";#N/A,#N/A,FALSE,"Res Cost"}</definedName>
    <definedName name="xxx" localSheetId="26" hidden="1">{#N/A,#N/A,FALSE,"O&amp;M by processes";#N/A,#N/A,FALSE,"Elec Act vs Bud";#N/A,#N/A,FALSE,"G&amp;A";#N/A,#N/A,FALSE,"BGS";#N/A,#N/A,FALSE,"Res Cost"}</definedName>
    <definedName name="xxx" hidden="1">{#N/A,#N/A,FALSE,"O&amp;M by processes";#N/A,#N/A,FALSE,"Elec Act vs Bud";#N/A,#N/A,FALSE,"G&amp;A";#N/A,#N/A,FALSE,"BGS";#N/A,#N/A,FALSE,"Res Cost"}</definedName>
    <definedName name="xxx.detail" hidden="1">{"detail305",#N/A,FALSE,"BI-305"}</definedName>
    <definedName name="xxx.directory" hidden="1">{"summary",#N/A,FALSE,"PCR DIRECTORY"}</definedName>
    <definedName name="xxx1"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xxx10" hidden="1">{"summary1",#N/A,TRUE,"Comps";"summary2",#N/A,TRUE,"Comps";"summary3",#N/A,TRUE,"Comps"}</definedName>
    <definedName name="xxx11" hidden="1">{"summary1",#N/A,TRUE,"Comps";"summary2",#N/A,TRUE,"Comps";"summary3",#N/A,TRUE,"Comps"}</definedName>
    <definedName name="xxx12" hidden="1">{#N/A,"DR",FALSE,"increm pf";#N/A,"MAMSI",FALSE,"increm pf";#N/A,"MAXI",FALSE,"increm pf";#N/A,"PCAM",FALSE,"increm pf";#N/A,"PHSV",FALSE,"increm pf";#N/A,"SIE",FALSE,"increm pf"}</definedName>
    <definedName name="xxx15"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xxx16" hidden="1">{"FCB_ALL",#N/A,FALSE,"FCB";"GREY_ALL",#N/A,FALSE,"GREY"}</definedName>
    <definedName name="xxx17" hidden="1">{#N/A,#N/A,FALSE,"INPUTDATA";#N/A,#N/A,FALSE,"SUMMARY";#N/A,#N/A,FALSE,"CTAREP";#N/A,#N/A,FALSE,"CTBREP";#N/A,#N/A,FALSE,"PMG4ST86";#N/A,#N/A,FALSE,"TURBEFF";#N/A,#N/A,FALSE,"Condenser Performance"}</definedName>
    <definedName name="xxx18" hidden="1">{TRUE,TRUE,-1.25,-15.5,604.5,369,FALSE,FALSE,TRUE,TRUE,0,1,83,1,38,4,5,4,TRUE,TRUE,3,TRUE,1,TRUE,75,"Swvu.inputs._.raw._.data.","ACwvu.inputs._.raw._.data.",#N/A,FALSE,FALSE,0.5,0.5,0.5,0.5,2,"&amp;F","&amp;A&amp;RPage &amp;P",FALSE,FALSE,FALSE,FALSE,1,60,#N/A,#N/A,"=R1C61:R53C89","=C1:C5",#N/A,#N/A,FALSE,FALSE,FALSE,1,600,600,FALSE,FALSE,TRUE,TRUE,TRUE}</definedName>
    <definedName name="xxx1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xxx2" hidden="1">{#N/A,#N/A,FALSE,"Results";#N/A,#N/A,FALSE,"Input Data";#N/A,#N/A,FALSE,"Generation Calculation";#N/A,#N/A,FALSE,"Unit Heat Rate Calculation";#N/A,#N/A,FALSE,"BEFF.XLS";#N/A,#N/A,FALSE,"TURBEFF.XLS";#N/A,#N/A,FALSE,"Final FWH Extraction Flow";#N/A,#N/A,FALSE,"Condenser Performance";#N/A,#N/A,FALSE,"Stage Pressure Correction"}</definedName>
    <definedName name="xxx2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xxx2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xxx3" hidden="1">{#N/A,#N/A,FALSE,"SUMMARY";#N/A,#N/A,FALSE,"INPUTDATA";#N/A,#N/A,FALSE,"Condenser Performance"}</definedName>
    <definedName name="xxx4" hidden="1">{#N/A,#N/A,FALSE,"T COST";#N/A,#N/A,FALSE,"COST_FH"}</definedName>
    <definedName name="xxx5" hidden="1">{#N/A,#N/A,FALSE,"INPUTDATA";#N/A,#N/A,FALSE,"SUMMARY";#N/A,#N/A,FALSE,"CTAREP";#N/A,#N/A,FALSE,"CTBREP";#N/A,#N/A,FALSE,"TURBEFF";#N/A,#N/A,FALSE,"Condenser Performance"}</definedName>
    <definedName name="xxx6" hidden="1">{#N/A,#N/A,FALSE,"INPUTDATA";#N/A,#N/A,FALSE,"SUMMARY"}</definedName>
    <definedName name="xxx7" hidden="1">{"FCB_ALL",#N/A,FALSE,"FCB"}</definedName>
    <definedName name="xxx8" hidden="1">{"FCB_ALL",#N/A,FALSE,"FCB"}</definedName>
    <definedName name="xxx9" hidden="1">{"inputs raw data",#N/A,TRUE,"INPUT"}</definedName>
    <definedName name="xxxx" localSheetId="15" hidden="1">{#N/A,#N/A,FALSE,"O&amp;M by processes";#N/A,#N/A,FALSE,"Elec Act vs Bud";#N/A,#N/A,FALSE,"G&amp;A";#N/A,#N/A,FALSE,"BGS";#N/A,#N/A,FALSE,"Res Cost"}</definedName>
    <definedName name="xxxx" localSheetId="25" hidden="1">{#N/A,#N/A,FALSE,"O&amp;M by processes";#N/A,#N/A,FALSE,"Elec Act vs Bud";#N/A,#N/A,FALSE,"G&amp;A";#N/A,#N/A,FALSE,"BGS";#N/A,#N/A,FALSE,"Res Cost"}</definedName>
    <definedName name="xxxx" localSheetId="26" hidden="1">{#N/A,#N/A,FALSE,"O&amp;M by processes";#N/A,#N/A,FALSE,"Elec Act vs Bud";#N/A,#N/A,FALSE,"G&amp;A";#N/A,#N/A,FALSE,"BGS";#N/A,#N/A,FALSE,"Res Cost"}</definedName>
    <definedName name="xxxx" hidden="1">{#N/A,#N/A,FALSE,"O&amp;M by processes";#N/A,#N/A,FALSE,"Elec Act vs Bud";#N/A,#N/A,FALSE,"G&amp;A";#N/A,#N/A,FALSE,"BGS";#N/A,#N/A,FALSE,"Res Cost"}</definedName>
    <definedName name="xxxxx" hidden="1">{#N/A,#N/A,TRUE,"TOTAL DISTRIBUTION";#N/A,#N/A,TRUE,"SOUTH";#N/A,#N/A,TRUE,"NORTHEAST";#N/A,#N/A,TRUE,"WEST"}</definedName>
    <definedName name="xxxxxx"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xxxxxx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xxxxxx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xxxxxx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xxxxxx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xxxxxx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y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y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y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y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y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Y_N">#REF!</definedName>
    <definedName name="Yard_Spacing">#REF!</definedName>
    <definedName name="Year">OFFSET(#REF!,0,0,COUNTA(#REF!),1)</definedName>
    <definedName name="Year0PmtsLeft">#REF!</definedName>
    <definedName name="YEAR1">#REF!</definedName>
    <definedName name="YearEndDay">#REF!</definedName>
    <definedName name="YearEndMonth">#REF!</definedName>
    <definedName name="yeartodate">#REF!</definedName>
    <definedName name="YesNo">#REF!</definedName>
    <definedName name="YesNoOnly">#REF!</definedName>
    <definedName name="YR_2">#N/A</definedName>
    <definedName name="yrtyretyreyt" hidden="1">{TRUE,TRUE,-1.25,-15.5,604.5,343.5,FALSE,FALSE,TRUE,TRUE,0,1,2,1,4,1,3,4,TRUE,TRUE,3,TRUE,1,TRUE,85,"Swvu.capexsum.","ACwvu.capexsum.",#N/A,FALSE,FALSE,0.75,0.75,1,1,2,"","",TRUE,FALSE,FALSE,FALSE,1,100,#N/A,#N/A,"=R1C1:R24C12",FALSE,#N/A,#N/A,FALSE,FALSE,FALSE,1,#N/A,#N/A,FALSE,FALSE,TRUE,TRUE,TRUE}</definedName>
    <definedName name="yuiuyi" hidden="1">{#N/A,#N/A,FALSE,"P&amp;L";#N/A,#N/A,FALSE,"DL Worksheet";#N/A,#N/A,FALSE,"Ind. Cell";#N/A,#N/A,FALSE,"Capital";#N/A,#N/A,FALSE,"Tooling";#N/A,#N/A,FALSE,"LRP"}</definedName>
    <definedName name="yyy" hidden="1">{#N/A,#N/A,FALSE,"QTR Total";#N/A,#N/A,FALSE,"QTR ASNS";#N/A,#N/A,FALSE,"QTR PNCNS";#N/A,#N/A,FALSE,"QTR DSNS";#N/A,#N/A,FALSE,"QTR TNS"}</definedName>
    <definedName name="Z_28948E05_8F34_4F1E_96FB_A80A6A844600_.wvu.Cols" localSheetId="8" hidden="1">'4 - Cap Adds'!$K:$AA</definedName>
    <definedName name="Z_28948E05_8F34_4F1E_96FB_A80A6A844600_.wvu.Cols" localSheetId="10" hidden="1">'6a-ADIT Projection'!#REF!</definedName>
    <definedName name="Z_28948E05_8F34_4F1E_96FB_A80A6A844600_.wvu.Cols" localSheetId="11" hidden="1">'6b-ADIT Projection Proration'!#REF!</definedName>
    <definedName name="Z_28948E05_8F34_4F1E_96FB_A80A6A844600_.wvu.Cols" localSheetId="12" hidden="1">'6c- ADIT BOY'!#REF!</definedName>
    <definedName name="Z_28948E05_8F34_4F1E_96FB_A80A6A844600_.wvu.Cols" localSheetId="13" hidden="1">'6d- ADIT EOY'!#REF!</definedName>
    <definedName name="Z_28948E05_8F34_4F1E_96FB_A80A6A844600_.wvu.Cols" localSheetId="14" hidden="1">'6e-ADIT True-up'!#REF!</definedName>
    <definedName name="Z_28948E05_8F34_4F1E_96FB_A80A6A844600_.wvu.Cols" localSheetId="15" hidden="1">'6f-ADIT True-up Proration'!#REF!</definedName>
    <definedName name="Z_28948E05_8F34_4F1E_96FB_A80A6A844600_.wvu.PrintArea" localSheetId="10" hidden="1">'6a-ADIT Projection'!$B$1:$G$52</definedName>
    <definedName name="Z_28948E05_8F34_4F1E_96FB_A80A6A844600_.wvu.PrintArea" localSheetId="11" hidden="1">'6b-ADIT Projection Proration'!$B$1:$H$74</definedName>
    <definedName name="Z_28948E05_8F34_4F1E_96FB_A80A6A844600_.wvu.PrintArea" localSheetId="12" hidden="1">'6c- ADIT BOY'!$B$1:$H$106</definedName>
    <definedName name="Z_28948E05_8F34_4F1E_96FB_A80A6A844600_.wvu.PrintArea" localSheetId="13" hidden="1">'6d- ADIT EOY'!$B$1:$H$106</definedName>
    <definedName name="Z_28948E05_8F34_4F1E_96FB_A80A6A844600_.wvu.PrintArea" localSheetId="14" hidden="1">'6e-ADIT True-up'!$B$1:$G$48</definedName>
    <definedName name="Z_28948E05_8F34_4F1E_96FB_A80A6A844600_.wvu.PrintArea" localSheetId="15" hidden="1">'6f-ADIT True-up Proration'!$B$1:$F$74</definedName>
    <definedName name="Z_28948E05_8F34_4F1E_96FB_A80A6A844600_.wvu.PrintTitles" localSheetId="8" hidden="1">'4 - Cap Adds'!$C:$D</definedName>
    <definedName name="Z_3768C7C8_9953_11DA_B318_000FB55D51DC_.wvu.PrintArea" localSheetId="2" hidden="1">'1 - Revenue Credits'!$A$5:$D$20</definedName>
    <definedName name="Z_3768C7C8_9953_11DA_B318_000FB55D51DC_.wvu.PrintArea" localSheetId="3" hidden="1">'2 - Cost Support '!#REF!</definedName>
    <definedName name="Z_3768C7C8_9953_11DA_B318_000FB55D51DC_.wvu.PrintArea" localSheetId="4" hidden="1">'2a - Cost Support'!$A$28:$M$88</definedName>
    <definedName name="Z_3768C7C8_9953_11DA_B318_000FB55D51DC_.wvu.PrintTitles" localSheetId="3" hidden="1">'2 - Cost Support '!#REF!</definedName>
    <definedName name="Z_3768C7C8_9953_11DA_B318_000FB55D51DC_.wvu.PrintTitles" localSheetId="4" hidden="1">'2a - Cost Support'!#REF!</definedName>
    <definedName name="Z_3768C7C8_9953_11DA_B318_000FB55D51DC_.wvu.Rows" localSheetId="3" hidden="1">'2 - Cost Support '!#REF!</definedName>
    <definedName name="Z_3768C7C8_9953_11DA_B318_000FB55D51DC_.wvu.Rows" localSheetId="4" hidden="1">'2a - Cost Support'!#REF!</definedName>
    <definedName name="Z_3A38DF7A_C35E_4DD3_9893_26310A3EF836_.wvu.Cols" localSheetId="8" hidden="1">'4 - Cap Adds'!$K:$AA</definedName>
    <definedName name="Z_3A38DF7A_C35E_4DD3_9893_26310A3EF836_.wvu.PrintTitles" localSheetId="8" hidden="1">'4 - Cap Adds'!$C:$D</definedName>
    <definedName name="Z_3BDD6235_B127_4929_8311_BDAF7BB89818_.wvu.PrintArea" localSheetId="2" hidden="1">'1 - Revenue Credits'!$A$5:$D$20</definedName>
    <definedName name="Z_3BDD6235_B127_4929_8311_BDAF7BB89818_.wvu.PrintArea" localSheetId="3" hidden="1">'2 - Cost Support '!#REF!</definedName>
    <definedName name="Z_3BDD6235_B127_4929_8311_BDAF7BB89818_.wvu.PrintArea" localSheetId="4" hidden="1">'2a - Cost Support'!$A$28:$M$88</definedName>
    <definedName name="Z_3BDD6235_B127_4929_8311_BDAF7BB89818_.wvu.PrintTitles" localSheetId="3" hidden="1">'2 - Cost Support '!#REF!</definedName>
    <definedName name="Z_3BDD6235_B127_4929_8311_BDAF7BB89818_.wvu.PrintTitles" localSheetId="4" hidden="1">'2a - Cost Support'!#REF!</definedName>
    <definedName name="Z_3BDD6235_B127_4929_8311_BDAF7BB89818_.wvu.Rows" localSheetId="3" hidden="1">'2 - Cost Support '!#REF!</definedName>
    <definedName name="Z_3BDD6235_B127_4929_8311_BDAF7BB89818_.wvu.Rows" localSheetId="4" hidden="1">'2a - Cost Support'!#REF!</definedName>
    <definedName name="Z_4C7C2344_134C_465A_ADEB_A5E96AAE2308_.wvu.Cols" localSheetId="8" hidden="1">'4 - Cap Adds'!$K:$AA</definedName>
    <definedName name="Z_4C7C2344_134C_465A_ADEB_A5E96AAE2308_.wvu.PrintTitles" localSheetId="8" hidden="1">'4 - Cap Adds'!$C:$D</definedName>
    <definedName name="Z_63011E91_4609_4523_98FE_FD252E915668_.wvu.Cols" localSheetId="10" hidden="1">'6a-ADIT Projection'!#REF!</definedName>
    <definedName name="Z_63011E91_4609_4523_98FE_FD252E915668_.wvu.Cols" localSheetId="11" hidden="1">'6b-ADIT Projection Proration'!#REF!</definedName>
    <definedName name="Z_63011E91_4609_4523_98FE_FD252E915668_.wvu.Cols" localSheetId="12" hidden="1">'6c- ADIT BOY'!#REF!</definedName>
    <definedName name="Z_63011E91_4609_4523_98FE_FD252E915668_.wvu.Cols" localSheetId="13" hidden="1">'6d- ADIT EOY'!#REF!</definedName>
    <definedName name="Z_63011E91_4609_4523_98FE_FD252E915668_.wvu.Cols" localSheetId="14" hidden="1">'6e-ADIT True-up'!#REF!</definedName>
    <definedName name="Z_63011E91_4609_4523_98FE_FD252E915668_.wvu.Cols" localSheetId="15" hidden="1">'6f-ADIT True-up Proration'!#REF!</definedName>
    <definedName name="Z_63011E91_4609_4523_98FE_FD252E915668_.wvu.PrintArea" localSheetId="10" hidden="1">'6a-ADIT Projection'!$B$1:$G$52</definedName>
    <definedName name="Z_63011E91_4609_4523_98FE_FD252E915668_.wvu.PrintArea" localSheetId="11" hidden="1">'6b-ADIT Projection Proration'!$B$1:$H$74</definedName>
    <definedName name="Z_63011E91_4609_4523_98FE_FD252E915668_.wvu.PrintArea" localSheetId="12" hidden="1">'6c- ADIT BOY'!$B$1:$H$106</definedName>
    <definedName name="Z_63011E91_4609_4523_98FE_FD252E915668_.wvu.PrintArea" localSheetId="13" hidden="1">'6d- ADIT EOY'!$B$1:$H$106</definedName>
    <definedName name="Z_63011E91_4609_4523_98FE_FD252E915668_.wvu.PrintArea" localSheetId="14" hidden="1">'6e-ADIT True-up'!$B$1:$G$48</definedName>
    <definedName name="Z_63011E91_4609_4523_98FE_FD252E915668_.wvu.PrintArea" localSheetId="15" hidden="1">'6f-ADIT True-up Proration'!$B$1:$F$74</definedName>
    <definedName name="Z_6928E596_79BD_4CEC_9F0D_07E62D69B2A5_.wvu.Cols" localSheetId="10" hidden="1">'6a-ADIT Projection'!#REF!</definedName>
    <definedName name="Z_6928E596_79BD_4CEC_9F0D_07E62D69B2A5_.wvu.Cols" localSheetId="11" hidden="1">'6b-ADIT Projection Proration'!#REF!</definedName>
    <definedName name="Z_6928E596_79BD_4CEC_9F0D_07E62D69B2A5_.wvu.Cols" localSheetId="12" hidden="1">'6c- ADIT BOY'!#REF!</definedName>
    <definedName name="Z_6928E596_79BD_4CEC_9F0D_07E62D69B2A5_.wvu.Cols" localSheetId="13" hidden="1">'6d- ADIT EOY'!#REF!</definedName>
    <definedName name="Z_6928E596_79BD_4CEC_9F0D_07E62D69B2A5_.wvu.Cols" localSheetId="14" hidden="1">'6e-ADIT True-up'!#REF!</definedName>
    <definedName name="Z_6928E596_79BD_4CEC_9F0D_07E62D69B2A5_.wvu.Cols" localSheetId="15" hidden="1">'6f-ADIT True-up Proration'!#REF!</definedName>
    <definedName name="Z_6928E596_79BD_4CEC_9F0D_07E62D69B2A5_.wvu.PrintArea" localSheetId="10" hidden="1">'6a-ADIT Projection'!$B$1:$G$52</definedName>
    <definedName name="Z_6928E596_79BD_4CEC_9F0D_07E62D69B2A5_.wvu.PrintArea" localSheetId="11" hidden="1">'6b-ADIT Projection Proration'!$B$1:$H$74</definedName>
    <definedName name="Z_6928E596_79BD_4CEC_9F0D_07E62D69B2A5_.wvu.PrintArea" localSheetId="12" hidden="1">'6c- ADIT BOY'!$B$1:$H$106</definedName>
    <definedName name="Z_6928E596_79BD_4CEC_9F0D_07E62D69B2A5_.wvu.PrintArea" localSheetId="13" hidden="1">'6d- ADIT EOY'!$B$1:$H$106</definedName>
    <definedName name="Z_6928E596_79BD_4CEC_9F0D_07E62D69B2A5_.wvu.PrintArea" localSheetId="14" hidden="1">'6e-ADIT True-up'!$B$1:$G$48</definedName>
    <definedName name="Z_6928E596_79BD_4CEC_9F0D_07E62D69B2A5_.wvu.PrintArea" localSheetId="15" hidden="1">'6f-ADIT True-up Proration'!$B$1:$F$74</definedName>
    <definedName name="Z_71B42B22_A376_44B5_B0C1_23FC1AA3DBA2_.wvu.Cols" localSheetId="8" hidden="1">'4 - Cap Adds'!$K:$AA</definedName>
    <definedName name="Z_71B42B22_A376_44B5_B0C1_23FC1AA3DBA2_.wvu.Cols" localSheetId="10" hidden="1">'6a-ADIT Projection'!#REF!</definedName>
    <definedName name="Z_71B42B22_A376_44B5_B0C1_23FC1AA3DBA2_.wvu.Cols" localSheetId="11" hidden="1">'6b-ADIT Projection Proration'!#REF!</definedName>
    <definedName name="Z_71B42B22_A376_44B5_B0C1_23FC1AA3DBA2_.wvu.Cols" localSheetId="12" hidden="1">'6c- ADIT BOY'!#REF!</definedName>
    <definedName name="Z_71B42B22_A376_44B5_B0C1_23FC1AA3DBA2_.wvu.Cols" localSheetId="13" hidden="1">'6d- ADIT EOY'!#REF!</definedName>
    <definedName name="Z_71B42B22_A376_44B5_B0C1_23FC1AA3DBA2_.wvu.Cols" localSheetId="14" hidden="1">'6e-ADIT True-up'!#REF!</definedName>
    <definedName name="Z_71B42B22_A376_44B5_B0C1_23FC1AA3DBA2_.wvu.Cols" localSheetId="15" hidden="1">'6f-ADIT True-up Proration'!#REF!</definedName>
    <definedName name="Z_71B42B22_A376_44B5_B0C1_23FC1AA3DBA2_.wvu.PrintArea" localSheetId="10" hidden="1">'6a-ADIT Projection'!$B$1:$G$52</definedName>
    <definedName name="Z_71B42B22_A376_44B5_B0C1_23FC1AA3DBA2_.wvu.PrintArea" localSheetId="11" hidden="1">'6b-ADIT Projection Proration'!$B$1:$H$74</definedName>
    <definedName name="Z_71B42B22_A376_44B5_B0C1_23FC1AA3DBA2_.wvu.PrintArea" localSheetId="12" hidden="1">'6c- ADIT BOY'!$B$1:$H$106</definedName>
    <definedName name="Z_71B42B22_A376_44B5_B0C1_23FC1AA3DBA2_.wvu.PrintArea" localSheetId="13" hidden="1">'6d- ADIT EOY'!$B$1:$H$106</definedName>
    <definedName name="Z_71B42B22_A376_44B5_B0C1_23FC1AA3DBA2_.wvu.PrintArea" localSheetId="14" hidden="1">'6e-ADIT True-up'!$B$1:$G$48</definedName>
    <definedName name="Z_71B42B22_A376_44B5_B0C1_23FC1AA3DBA2_.wvu.PrintArea" localSheetId="15" hidden="1">'6f-ADIT True-up Proration'!$B$1:$F$74</definedName>
    <definedName name="Z_71B42B22_A376_44B5_B0C1_23FC1AA3DBA2_.wvu.PrintTitles" localSheetId="8" hidden="1">'4 - Cap Adds'!$C:$D</definedName>
    <definedName name="Z_8FBB4DC9_2D51_4AB9_80D8_F8474B404C29_.wvu.Cols" localSheetId="10" hidden="1">'6a-ADIT Projection'!#REF!</definedName>
    <definedName name="Z_8FBB4DC9_2D51_4AB9_80D8_F8474B404C29_.wvu.Cols" localSheetId="11" hidden="1">'6b-ADIT Projection Proration'!#REF!</definedName>
    <definedName name="Z_8FBB4DC9_2D51_4AB9_80D8_F8474B404C29_.wvu.Cols" localSheetId="12" hidden="1">'6c- ADIT BOY'!#REF!</definedName>
    <definedName name="Z_8FBB4DC9_2D51_4AB9_80D8_F8474B404C29_.wvu.Cols" localSheetId="13" hidden="1">'6d- ADIT EOY'!#REF!</definedName>
    <definedName name="Z_8FBB4DC9_2D51_4AB9_80D8_F8474B404C29_.wvu.Cols" localSheetId="14" hidden="1">'6e-ADIT True-up'!#REF!</definedName>
    <definedName name="Z_8FBB4DC9_2D51_4AB9_80D8_F8474B404C29_.wvu.Cols" localSheetId="15" hidden="1">'6f-ADIT True-up Proration'!#REF!</definedName>
    <definedName name="Z_8FBB4DC9_2D51_4AB9_80D8_F8474B404C29_.wvu.PrintArea" localSheetId="10" hidden="1">'6a-ADIT Projection'!$B$1:$G$52</definedName>
    <definedName name="Z_8FBB4DC9_2D51_4AB9_80D8_F8474B404C29_.wvu.PrintArea" localSheetId="11" hidden="1">'6b-ADIT Projection Proration'!$B$1:$H$74</definedName>
    <definedName name="Z_8FBB4DC9_2D51_4AB9_80D8_F8474B404C29_.wvu.PrintArea" localSheetId="12" hidden="1">'6c- ADIT BOY'!$B$1:$H$106</definedName>
    <definedName name="Z_8FBB4DC9_2D51_4AB9_80D8_F8474B404C29_.wvu.PrintArea" localSheetId="13" hidden="1">'6d- ADIT EOY'!$B$1:$H$106</definedName>
    <definedName name="Z_8FBB4DC9_2D51_4AB9_80D8_F8474B404C29_.wvu.PrintArea" localSheetId="14" hidden="1">'6e-ADIT True-up'!$B$1:$G$48</definedName>
    <definedName name="Z_8FBB4DC9_2D51_4AB9_80D8_F8474B404C29_.wvu.PrintArea" localSheetId="15" hidden="1">'6f-ADIT True-up Proration'!$B$1:$F$74</definedName>
    <definedName name="Z_B0241363_5C8A_48FC_89A6_56D55586BABE_.wvu.PrintArea" localSheetId="2" hidden="1">'1 - Revenue Credits'!$A$5:$D$20</definedName>
    <definedName name="Z_B0241363_5C8A_48FC_89A6_56D55586BABE_.wvu.PrintArea" localSheetId="3" hidden="1">'2 - Cost Support '!#REF!</definedName>
    <definedName name="Z_B0241363_5C8A_48FC_89A6_56D55586BABE_.wvu.PrintArea" localSheetId="4" hidden="1">'2a - Cost Support'!$A$28:$M$88</definedName>
    <definedName name="Z_B0241363_5C8A_48FC_89A6_56D55586BABE_.wvu.PrintTitles" localSheetId="3" hidden="1">'2 - Cost Support '!#REF!</definedName>
    <definedName name="Z_B0241363_5C8A_48FC_89A6_56D55586BABE_.wvu.PrintTitles" localSheetId="4" hidden="1">'2a - Cost Support'!#REF!</definedName>
    <definedName name="Z_B0241363_5C8A_48FC_89A6_56D55586BABE_.wvu.Rows" localSheetId="3" hidden="1">'2 - Cost Support '!#REF!</definedName>
    <definedName name="Z_B0241363_5C8A_48FC_89A6_56D55586BABE_.wvu.Rows" localSheetId="4" hidden="1">'2a - Cost Support'!#REF!</definedName>
    <definedName name="Z_B647CB7F_C846_4278_B6B1_1EF7F3C004F5_.wvu.Cols" localSheetId="10" hidden="1">'6a-ADIT Projection'!#REF!</definedName>
    <definedName name="Z_B647CB7F_C846_4278_B6B1_1EF7F3C004F5_.wvu.Cols" localSheetId="11" hidden="1">'6b-ADIT Projection Proration'!#REF!</definedName>
    <definedName name="Z_B647CB7F_C846_4278_B6B1_1EF7F3C004F5_.wvu.Cols" localSheetId="12" hidden="1">'6c- ADIT BOY'!#REF!</definedName>
    <definedName name="Z_B647CB7F_C846_4278_B6B1_1EF7F3C004F5_.wvu.Cols" localSheetId="13" hidden="1">'6d- ADIT EOY'!#REF!</definedName>
    <definedName name="Z_B647CB7F_C846_4278_B6B1_1EF7F3C004F5_.wvu.Cols" localSheetId="14" hidden="1">'6e-ADIT True-up'!#REF!</definedName>
    <definedName name="Z_B647CB7F_C846_4278_B6B1_1EF7F3C004F5_.wvu.Cols" localSheetId="15" hidden="1">'6f-ADIT True-up Proration'!#REF!</definedName>
    <definedName name="Z_B647CB7F_C846_4278_B6B1_1EF7F3C004F5_.wvu.PrintArea" localSheetId="10" hidden="1">'6a-ADIT Projection'!$B$1:$G$52</definedName>
    <definedName name="Z_B647CB7F_C846_4278_B6B1_1EF7F3C004F5_.wvu.PrintArea" localSheetId="11" hidden="1">'6b-ADIT Projection Proration'!$B$1:$H$74</definedName>
    <definedName name="Z_B647CB7F_C846_4278_B6B1_1EF7F3C004F5_.wvu.PrintArea" localSheetId="12" hidden="1">'6c- ADIT BOY'!$B$1:$H$106</definedName>
    <definedName name="Z_B647CB7F_C846_4278_B6B1_1EF7F3C004F5_.wvu.PrintArea" localSheetId="13" hidden="1">'6d- ADIT EOY'!$B$1:$H$106</definedName>
    <definedName name="Z_B647CB7F_C846_4278_B6B1_1EF7F3C004F5_.wvu.PrintArea" localSheetId="14" hidden="1">'6e-ADIT True-up'!$B$1:$G$48</definedName>
    <definedName name="Z_B647CB7F_C846_4278_B6B1_1EF7F3C004F5_.wvu.PrintArea" localSheetId="15" hidden="1">'6f-ADIT True-up Proration'!$B$1:$F$74</definedName>
    <definedName name="Z_C0EA0F9F_7310_4201_82C9_7B8FC8DB9137_.wvu.PrintArea" localSheetId="2" hidden="1">'1 - Revenue Credits'!$A$5:$D$20</definedName>
    <definedName name="Z_C0EA0F9F_7310_4201_82C9_7B8FC8DB9137_.wvu.PrintArea" localSheetId="3" hidden="1">'2 - Cost Support '!#REF!</definedName>
    <definedName name="Z_C0EA0F9F_7310_4201_82C9_7B8FC8DB9137_.wvu.PrintArea" localSheetId="4" hidden="1">'2a - Cost Support'!$A$28:$M$88</definedName>
    <definedName name="Z_C0EA0F9F_7310_4201_82C9_7B8FC8DB9137_.wvu.PrintTitles" localSheetId="3" hidden="1">'2 - Cost Support '!#REF!</definedName>
    <definedName name="Z_C0EA0F9F_7310_4201_82C9_7B8FC8DB9137_.wvu.PrintTitles" localSheetId="4" hidden="1">'2a - Cost Support'!#REF!</definedName>
    <definedName name="Z_C0EA0F9F_7310_4201_82C9_7B8FC8DB9137_.wvu.Rows" localSheetId="3" hidden="1">'2 - Cost Support '!#REF!</definedName>
    <definedName name="Z_C0EA0F9F_7310_4201_82C9_7B8FC8DB9137_.wvu.Rows" localSheetId="4" hidden="1">'2a - Cost Support'!#REF!</definedName>
    <definedName name="Z_DA967730_B71F_4038_B1B7_9D4790729C5D_.wvu.Cols" localSheetId="8" hidden="1">'4 - Cap Adds'!$K:$AA</definedName>
    <definedName name="Z_DA967730_B71F_4038_B1B7_9D4790729C5D_.wvu.PrintTitles" localSheetId="8" hidden="1">'4 - Cap Adds'!$C:$D</definedName>
    <definedName name="Z_DC91DEF3_837B_4BB9_A81E_3B78C5914E6C_.wvu.Cols" localSheetId="8" hidden="1">'4 - Cap Adds'!$K:$AA</definedName>
    <definedName name="Z_DC91DEF3_837B_4BB9_A81E_3B78C5914E6C_.wvu.Cols" localSheetId="10" hidden="1">'6a-ADIT Projection'!#REF!</definedName>
    <definedName name="Z_DC91DEF3_837B_4BB9_A81E_3B78C5914E6C_.wvu.Cols" localSheetId="11" hidden="1">'6b-ADIT Projection Proration'!#REF!</definedName>
    <definedName name="Z_DC91DEF3_837B_4BB9_A81E_3B78C5914E6C_.wvu.Cols" localSheetId="12" hidden="1">'6c- ADIT BOY'!#REF!</definedName>
    <definedName name="Z_DC91DEF3_837B_4BB9_A81E_3B78C5914E6C_.wvu.Cols" localSheetId="13" hidden="1">'6d- ADIT EOY'!#REF!</definedName>
    <definedName name="Z_DC91DEF3_837B_4BB9_A81E_3B78C5914E6C_.wvu.Cols" localSheetId="14" hidden="1">'6e-ADIT True-up'!#REF!</definedName>
    <definedName name="Z_DC91DEF3_837B_4BB9_A81E_3B78C5914E6C_.wvu.Cols" localSheetId="15" hidden="1">'6f-ADIT True-up Proration'!#REF!</definedName>
    <definedName name="Z_DC91DEF3_837B_4BB9_A81E_3B78C5914E6C_.wvu.PrintArea" localSheetId="10" hidden="1">'6a-ADIT Projection'!$B$1:$G$52</definedName>
    <definedName name="Z_DC91DEF3_837B_4BB9_A81E_3B78C5914E6C_.wvu.PrintArea" localSheetId="11" hidden="1">'6b-ADIT Projection Proration'!$B$1:$H$74</definedName>
    <definedName name="Z_DC91DEF3_837B_4BB9_A81E_3B78C5914E6C_.wvu.PrintArea" localSheetId="12" hidden="1">'6c- ADIT BOY'!$B$1:$H$106</definedName>
    <definedName name="Z_DC91DEF3_837B_4BB9_A81E_3B78C5914E6C_.wvu.PrintArea" localSheetId="13" hidden="1">'6d- ADIT EOY'!$B$1:$H$106</definedName>
    <definedName name="Z_DC91DEF3_837B_4BB9_A81E_3B78C5914E6C_.wvu.PrintArea" localSheetId="14" hidden="1">'6e-ADIT True-up'!$B$1:$G$48</definedName>
    <definedName name="Z_DC91DEF3_837B_4BB9_A81E_3B78C5914E6C_.wvu.PrintArea" localSheetId="15" hidden="1">'6f-ADIT True-up Proration'!$B$1:$F$74</definedName>
    <definedName name="Z_DC91DEF3_837B_4BB9_A81E_3B78C5914E6C_.wvu.PrintTitles" localSheetId="8" hidden="1">'4 - Cap Adds'!$C:$D</definedName>
    <definedName name="Z_F96D6087_3330_4A81_95EC_26BA83722A49_.wvu.Cols" localSheetId="8" hidden="1">'4 - Cap Adds'!$K:$AA</definedName>
    <definedName name="Z_F96D6087_3330_4A81_95EC_26BA83722A49_.wvu.PrintTitles" localSheetId="8" hidden="1">'4 - Cap Adds'!$C:$D</definedName>
    <definedName name="Z_FAAD9AAC_1337_43AB_BF1F_CCF9DFCF5B78_.wvu.Cols" localSheetId="8" hidden="1">'4 - Cap Adds'!$K:$AA</definedName>
    <definedName name="Z_FAAD9AAC_1337_43AB_BF1F_CCF9DFCF5B78_.wvu.Cols" localSheetId="10" hidden="1">'6a-ADIT Projection'!#REF!</definedName>
    <definedName name="Z_FAAD9AAC_1337_43AB_BF1F_CCF9DFCF5B78_.wvu.Cols" localSheetId="11" hidden="1">'6b-ADIT Projection Proration'!#REF!</definedName>
    <definedName name="Z_FAAD9AAC_1337_43AB_BF1F_CCF9DFCF5B78_.wvu.Cols" localSheetId="12" hidden="1">'6c- ADIT BOY'!#REF!</definedName>
    <definedName name="Z_FAAD9AAC_1337_43AB_BF1F_CCF9DFCF5B78_.wvu.Cols" localSheetId="13" hidden="1">'6d- ADIT EOY'!#REF!</definedName>
    <definedName name="Z_FAAD9AAC_1337_43AB_BF1F_CCF9DFCF5B78_.wvu.Cols" localSheetId="14" hidden="1">'6e-ADIT True-up'!#REF!</definedName>
    <definedName name="Z_FAAD9AAC_1337_43AB_BF1F_CCF9DFCF5B78_.wvu.Cols" localSheetId="15" hidden="1">'6f-ADIT True-up Proration'!#REF!</definedName>
    <definedName name="Z_FAAD9AAC_1337_43AB_BF1F_CCF9DFCF5B78_.wvu.PrintArea" localSheetId="10" hidden="1">'6a-ADIT Projection'!$B$1:$G$52</definedName>
    <definedName name="Z_FAAD9AAC_1337_43AB_BF1F_CCF9DFCF5B78_.wvu.PrintArea" localSheetId="11" hidden="1">'6b-ADIT Projection Proration'!$B$1:$H$74</definedName>
    <definedName name="Z_FAAD9AAC_1337_43AB_BF1F_CCF9DFCF5B78_.wvu.PrintArea" localSheetId="12" hidden="1">'6c- ADIT BOY'!$B$1:$H$106</definedName>
    <definedName name="Z_FAAD9AAC_1337_43AB_BF1F_CCF9DFCF5B78_.wvu.PrintArea" localSheetId="13" hidden="1">'6d- ADIT EOY'!$B$1:$H$106</definedName>
    <definedName name="Z_FAAD9AAC_1337_43AB_BF1F_CCF9DFCF5B78_.wvu.PrintArea" localSheetId="14" hidden="1">'6e-ADIT True-up'!$B$1:$G$48</definedName>
    <definedName name="Z_FAAD9AAC_1337_43AB_BF1F_CCF9DFCF5B78_.wvu.PrintArea" localSheetId="15" hidden="1">'6f-ADIT True-up Proration'!$B$1:$F$74</definedName>
    <definedName name="Z_FAAD9AAC_1337_43AB_BF1F_CCF9DFCF5B78_.wvu.PrintTitles" localSheetId="8" hidden="1">'4 - Cap Adds'!$C:$D</definedName>
    <definedName name="zero">0</definedName>
    <definedName name="zero_out">#N/A</definedName>
    <definedName name="Zip" hidden="1">#REF!</definedName>
    <definedName name="Zone_Inputs">#REF!,#REF!,#REF!,#REF!,#REF!,#REF!,#REF!,#REF!,#REF!,#REF!,#REF!,#REF!,#REF!,#REF!,#REF!,#REF!,#REF!,#REF!,#REF!,#REF!,#REF!,#REF!,#REF!,#REF!,#REF!,#REF!,#REF!,#REF!,#REF!</definedName>
    <definedName name="zz" hidden="1">{#N/A,#N/A,FALSE,"TOTFINAL";#N/A,#N/A,FALSE,"FINPLAN";#N/A,#N/A,FALSE,"TOTMOTADJ";#N/A,#N/A,FALSE,"tieEQ";#N/A,#N/A,FALSE,"G";#N/A,#N/A,FALSE,"ELIMS";#N/A,#N/A,FALSE,"NEXTEL ADJ";#N/A,#N/A,FALSE,"MIMS";#N/A,#N/A,FALSE,"LMPS";#N/A,#N/A,FALSE,"CNSS";#N/A,#N/A,FALSE,"CSS";#N/A,#N/A,FALSE,"MCG";#N/A,#N/A,FALSE,"AECS";#N/A,#N/A,FALSE,"SPS";#N/A,#N/A,FALSE,"CORP"}</definedName>
    <definedName name="zzz"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zzz.com" hidden="1">{#N/A,#N/A,FALSE,"Title Page";#N/A,#N/A,FALSE,"Conclusions";#N/A,#N/A,FALSE,"Assum.";#N/A,#N/A,FALSE,"Sun  DCF-WC-Dep";#N/A,#N/A,FALSE,"MarketValue";#N/A,#N/A,FALSE,"BalSheet";#N/A,#N/A,FALSE,"WACC";#N/A,#N/A,FALSE,"PC+ Info.";#N/A,#N/A,FALSE,"PC+Info_2"}</definedName>
    <definedName name="zzzz" hidden="1">{#N/A,#N/A,FALSE,"TOTFINAL";#N/A,#N/A,FALSE,"FINPLAN";#N/A,#N/A,FALSE,"TOTMOTADJ";#N/A,#N/A,FALSE,"tieEQ";#N/A,#N/A,FALSE,"G";#N/A,#N/A,FALSE,"ELIMS";#N/A,#N/A,FALSE,"NEXTEL ADJ";#N/A,#N/A,FALSE,"MIMS";#N/A,#N/A,FALSE,"LMPS";#N/A,#N/A,FALSE,"CNSS";#N/A,#N/A,FALSE,"CSS";#N/A,#N/A,FALSE,"MCG";#N/A,#N/A,FALSE,"AECS";#N/A,#N/A,FALSE,"SPS";#N/A,#N/A,FALSE,"CORP"}</definedName>
  </definedNames>
  <calcPr calcId="191029" concurrentManualCount="1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1" i="10" l="1"/>
  <c r="H15" i="10"/>
  <c r="E14" i="27"/>
  <c r="D14" i="27"/>
  <c r="C14" i="27"/>
  <c r="F12" i="27"/>
  <c r="F11" i="27"/>
  <c r="F10" i="27"/>
  <c r="F9" i="27"/>
  <c r="F8" i="27"/>
  <c r="F7" i="27"/>
  <c r="F6" i="27"/>
  <c r="F14" i="27"/>
  <c r="F18" i="26"/>
  <c r="E18" i="26"/>
  <c r="D18" i="26"/>
  <c r="C18" i="26"/>
  <c r="G16" i="26"/>
  <c r="G15" i="26"/>
  <c r="G14" i="26"/>
  <c r="G13" i="26"/>
  <c r="G12" i="26"/>
  <c r="G11" i="26"/>
  <c r="G10" i="26"/>
  <c r="G18" i="26"/>
  <c r="L54" i="25"/>
  <c r="K54" i="25"/>
  <c r="J54" i="25"/>
  <c r="I54" i="25"/>
  <c r="H54" i="25"/>
  <c r="G54" i="25"/>
  <c r="F54" i="25"/>
  <c r="E54" i="25"/>
  <c r="D54" i="25"/>
  <c r="C54" i="25"/>
  <c r="M53" i="25"/>
  <c r="M52" i="25"/>
  <c r="M51" i="25"/>
  <c r="M50" i="25"/>
  <c r="M49" i="25"/>
  <c r="M48" i="25"/>
  <c r="M47" i="25"/>
  <c r="M46" i="25"/>
  <c r="M45" i="25"/>
  <c r="M44" i="25"/>
  <c r="M43" i="25"/>
  <c r="M42" i="25"/>
  <c r="M41" i="25"/>
  <c r="M40" i="25"/>
  <c r="M39" i="25"/>
  <c r="M38" i="25"/>
  <c r="M37" i="25"/>
  <c r="M54" i="25"/>
  <c r="E26" i="25"/>
  <c r="D26" i="25"/>
  <c r="G25" i="25"/>
  <c r="G24" i="25"/>
  <c r="G23" i="25"/>
  <c r="G22" i="25"/>
  <c r="G21" i="25"/>
  <c r="G20" i="25"/>
  <c r="G19" i="25"/>
  <c r="G18" i="25"/>
  <c r="G17" i="25"/>
  <c r="G16" i="25"/>
  <c r="G15" i="25"/>
  <c r="G14" i="25"/>
  <c r="G13" i="25"/>
  <c r="G12" i="25"/>
  <c r="G11" i="25"/>
  <c r="D8" i="25"/>
  <c r="G46" i="24"/>
  <c r="E46" i="24"/>
  <c r="D46" i="24"/>
  <c r="H45" i="24"/>
  <c r="H44" i="24"/>
  <c r="H43" i="24"/>
  <c r="H42" i="24"/>
  <c r="H41" i="24"/>
  <c r="H40" i="24"/>
  <c r="H39" i="24"/>
  <c r="H38" i="24"/>
  <c r="H37" i="24"/>
  <c r="H36" i="24"/>
  <c r="H35" i="24"/>
  <c r="H34" i="24"/>
  <c r="H33" i="24"/>
  <c r="H32" i="24"/>
  <c r="H31" i="24"/>
  <c r="H46" i="24"/>
  <c r="G25" i="24"/>
  <c r="H24" i="24"/>
  <c r="H23" i="24"/>
  <c r="H22" i="24"/>
  <c r="H21" i="24"/>
  <c r="H20" i="24"/>
  <c r="H19" i="24"/>
  <c r="H18" i="24"/>
  <c r="H17" i="24"/>
  <c r="H16" i="24"/>
  <c r="H15" i="24"/>
  <c r="H14" i="24"/>
  <c r="H13" i="24"/>
  <c r="H12" i="24"/>
  <c r="A11" i="24"/>
  <c r="A12" i="24"/>
  <c r="A13" i="24"/>
  <c r="A14" i="24"/>
  <c r="A15" i="24"/>
  <c r="A16" i="24"/>
  <c r="A17" i="24"/>
  <c r="A18" i="24"/>
  <c r="A19" i="24"/>
  <c r="A20" i="24"/>
  <c r="A21" i="24"/>
  <c r="A22" i="24"/>
  <c r="A23" i="24"/>
  <c r="A24" i="24"/>
  <c r="A25" i="24"/>
  <c r="A31" i="24"/>
  <c r="A32" i="24"/>
  <c r="A33" i="24"/>
  <c r="A34" i="24"/>
  <c r="A35" i="24"/>
  <c r="A36" i="24"/>
  <c r="A37" i="24"/>
  <c r="A38" i="24"/>
  <c r="A39" i="24"/>
  <c r="A40" i="24"/>
  <c r="A41" i="24"/>
  <c r="A42" i="24"/>
  <c r="A43" i="24"/>
  <c r="A44" i="24"/>
  <c r="A45" i="24"/>
  <c r="A46" i="24"/>
  <c r="G64" i="23"/>
  <c r="E64" i="23"/>
  <c r="D64" i="23"/>
  <c r="H63" i="23"/>
  <c r="H62" i="23"/>
  <c r="H61" i="23"/>
  <c r="H60" i="23"/>
  <c r="H59" i="23"/>
  <c r="H58" i="23"/>
  <c r="H57" i="23"/>
  <c r="H56" i="23"/>
  <c r="H55" i="23"/>
  <c r="H54" i="23"/>
  <c r="H53" i="23"/>
  <c r="H52" i="23"/>
  <c r="H51" i="23"/>
  <c r="H50" i="23"/>
  <c r="H49" i="23"/>
  <c r="H48" i="23"/>
  <c r="H47" i="23"/>
  <c r="H46" i="23"/>
  <c r="H45" i="23"/>
  <c r="H44" i="23"/>
  <c r="H43" i="23"/>
  <c r="H42" i="23"/>
  <c r="H41" i="23"/>
  <c r="H40" i="23"/>
  <c r="H39" i="23"/>
  <c r="H64" i="23"/>
  <c r="G33" i="23"/>
  <c r="E33" i="23"/>
  <c r="D33" i="23"/>
  <c r="H32" i="23"/>
  <c r="H31" i="23"/>
  <c r="H30" i="23"/>
  <c r="H29" i="23"/>
  <c r="H28" i="23"/>
  <c r="H27" i="23"/>
  <c r="H26" i="23"/>
  <c r="H25" i="23"/>
  <c r="H24" i="23"/>
  <c r="H23" i="23"/>
  <c r="H22" i="23"/>
  <c r="H21" i="23"/>
  <c r="H20" i="23"/>
  <c r="H19" i="23"/>
  <c r="H18" i="23"/>
  <c r="H17" i="23"/>
  <c r="H16" i="23"/>
  <c r="H15" i="23"/>
  <c r="H14" i="23"/>
  <c r="H13" i="23"/>
  <c r="H12" i="23"/>
  <c r="H11" i="23"/>
  <c r="H10" i="23"/>
  <c r="A10" i="23"/>
  <c r="A11" i="23"/>
  <c r="A12" i="23"/>
  <c r="A13" i="23"/>
  <c r="A14" i="23"/>
  <c r="A15" i="23"/>
  <c r="A16" i="23"/>
  <c r="A17" i="23"/>
  <c r="A18" i="23"/>
  <c r="A19" i="23"/>
  <c r="A20" i="23"/>
  <c r="A21" i="23"/>
  <c r="A22" i="23"/>
  <c r="A23" i="23"/>
  <c r="A24" i="23"/>
  <c r="A25" i="23"/>
  <c r="A26" i="23"/>
  <c r="A27" i="23"/>
  <c r="A28" i="23"/>
  <c r="A29" i="23"/>
  <c r="A30" i="23"/>
  <c r="A31" i="23"/>
  <c r="A32" i="23"/>
  <c r="A33" i="23"/>
  <c r="A39" i="23"/>
  <c r="A40" i="23"/>
  <c r="A41" i="23"/>
  <c r="A42" i="23"/>
  <c r="A43" i="23"/>
  <c r="A44" i="23"/>
  <c r="A45" i="23"/>
  <c r="A46" i="23"/>
  <c r="A47" i="23"/>
  <c r="A48" i="23"/>
  <c r="A49" i="23"/>
  <c r="A50" i="23"/>
  <c r="A51" i="23"/>
  <c r="A52" i="23"/>
  <c r="A53" i="23"/>
  <c r="A54" i="23"/>
  <c r="A55" i="23"/>
  <c r="A56" i="23"/>
  <c r="A57" i="23"/>
  <c r="A58" i="23"/>
  <c r="A59" i="23"/>
  <c r="A60" i="23"/>
  <c r="A61" i="23"/>
  <c r="A62" i="23"/>
  <c r="H9" i="23"/>
  <c r="D10" i="22"/>
  <c r="D8" i="22"/>
  <c r="A2" i="22"/>
  <c r="U31" i="21"/>
  <c r="Y31" i="21"/>
  <c r="U30" i="21"/>
  <c r="Y30" i="21"/>
  <c r="U29" i="21"/>
  <c r="Y29" i="21"/>
  <c r="U28" i="21"/>
  <c r="Y28" i="21"/>
  <c r="U27" i="21"/>
  <c r="Y27" i="21"/>
  <c r="U26" i="21"/>
  <c r="Y26" i="21"/>
  <c r="U25" i="21"/>
  <c r="Y25" i="21"/>
  <c r="U24" i="21"/>
  <c r="Y24" i="21"/>
  <c r="U23" i="21"/>
  <c r="Y23" i="21"/>
  <c r="U22" i="21"/>
  <c r="Y22" i="21"/>
  <c r="U21" i="21"/>
  <c r="Y21" i="21"/>
  <c r="U20" i="21"/>
  <c r="Y20" i="21"/>
  <c r="U19" i="21"/>
  <c r="Y19" i="21"/>
  <c r="U18" i="21"/>
  <c r="Y18" i="21"/>
  <c r="U17" i="21"/>
  <c r="Y17" i="21"/>
  <c r="U16" i="21"/>
  <c r="Y16" i="21"/>
  <c r="U15" i="21"/>
  <c r="Y15" i="21"/>
  <c r="U14" i="21"/>
  <c r="Y14" i="21"/>
  <c r="U13" i="21"/>
  <c r="Y13" i="21"/>
  <c r="U12" i="21"/>
  <c r="Y12" i="21"/>
  <c r="U11" i="21"/>
  <c r="Y11" i="21"/>
  <c r="U10" i="21"/>
  <c r="Y10" i="21"/>
  <c r="U9" i="21"/>
  <c r="Y9" i="21"/>
  <c r="U8" i="21"/>
  <c r="Y8" i="21"/>
  <c r="U7" i="21"/>
  <c r="Y7" i="21"/>
  <c r="Y32" i="21"/>
  <c r="E57" i="2"/>
  <c r="J57" i="2"/>
  <c r="H188" i="2"/>
  <c r="Q31" i="20"/>
  <c r="W31" i="20"/>
  <c r="Q30" i="20"/>
  <c r="W30" i="20"/>
  <c r="Q29" i="20"/>
  <c r="W29" i="20"/>
  <c r="Q28" i="20"/>
  <c r="W28" i="20"/>
  <c r="Q27" i="20"/>
  <c r="W27" i="20"/>
  <c r="Q26" i="20"/>
  <c r="W26" i="20"/>
  <c r="Q25" i="20"/>
  <c r="W25" i="20"/>
  <c r="Q24" i="20"/>
  <c r="W24" i="20"/>
  <c r="Q23" i="20"/>
  <c r="W23" i="20"/>
  <c r="Q22" i="20"/>
  <c r="W22" i="20"/>
  <c r="Q21" i="20"/>
  <c r="W21" i="20"/>
  <c r="Q20" i="20"/>
  <c r="W20" i="20"/>
  <c r="Q19" i="20"/>
  <c r="W19" i="20"/>
  <c r="Q18" i="20"/>
  <c r="W18" i="20"/>
  <c r="Q17" i="20"/>
  <c r="W17" i="20"/>
  <c r="Q16" i="20"/>
  <c r="W16" i="20"/>
  <c r="Q15" i="20"/>
  <c r="W15" i="20"/>
  <c r="Q14" i="20"/>
  <c r="W14" i="20"/>
  <c r="Q13" i="20"/>
  <c r="W13" i="20"/>
  <c r="Q12" i="20"/>
  <c r="W12" i="20"/>
  <c r="Q11" i="20"/>
  <c r="W11" i="20"/>
  <c r="Q10" i="20"/>
  <c r="W10" i="20"/>
  <c r="Q9" i="20"/>
  <c r="W9" i="20"/>
  <c r="Q8" i="20"/>
  <c r="W8" i="20"/>
  <c r="Q7" i="20"/>
  <c r="P6" i="20"/>
  <c r="T6" i="21"/>
  <c r="O6" i="20"/>
  <c r="S6" i="21"/>
  <c r="N6" i="20"/>
  <c r="R6" i="21"/>
  <c r="M6" i="20"/>
  <c r="Q6" i="21"/>
  <c r="L6" i="20"/>
  <c r="P6" i="21"/>
  <c r="K6" i="20"/>
  <c r="O6" i="21"/>
  <c r="J6" i="20"/>
  <c r="N6" i="21"/>
  <c r="I6" i="20"/>
  <c r="M6" i="21"/>
  <c r="H6" i="20"/>
  <c r="L6" i="21"/>
  <c r="G6" i="20"/>
  <c r="K6" i="21"/>
  <c r="F6" i="20"/>
  <c r="J6" i="21"/>
  <c r="E6" i="20"/>
  <c r="I6" i="21"/>
  <c r="D6" i="20"/>
  <c r="H6" i="21"/>
  <c r="Z79" i="19"/>
  <c r="AD79" i="19"/>
  <c r="H79" i="19"/>
  <c r="L79" i="19"/>
  <c r="Z78" i="19"/>
  <c r="AD78" i="19"/>
  <c r="H78" i="19"/>
  <c r="L78" i="19"/>
  <c r="Z77" i="19"/>
  <c r="AD77" i="19"/>
  <c r="H77" i="19"/>
  <c r="L77" i="19"/>
  <c r="Z76" i="19"/>
  <c r="AD76" i="19"/>
  <c r="H76" i="19"/>
  <c r="L76" i="19"/>
  <c r="Z75" i="19"/>
  <c r="AD75" i="19"/>
  <c r="H75" i="19"/>
  <c r="L75" i="19"/>
  <c r="Z74" i="19"/>
  <c r="AD74" i="19"/>
  <c r="H74" i="19"/>
  <c r="L74" i="19"/>
  <c r="Z73" i="19"/>
  <c r="AD73" i="19"/>
  <c r="H73" i="19"/>
  <c r="L73" i="19"/>
  <c r="Z72" i="19"/>
  <c r="AD72" i="19"/>
  <c r="H72" i="19"/>
  <c r="L72" i="19"/>
  <c r="Z71" i="19"/>
  <c r="AD71" i="19"/>
  <c r="H71" i="19"/>
  <c r="L71" i="19"/>
  <c r="Z70" i="19"/>
  <c r="AD70" i="19"/>
  <c r="AD80" i="19"/>
  <c r="E60" i="2"/>
  <c r="J60" i="2"/>
  <c r="H189" i="2"/>
  <c r="H70" i="19"/>
  <c r="L70" i="19"/>
  <c r="L80" i="19"/>
  <c r="E106" i="2"/>
  <c r="Z65" i="19"/>
  <c r="Z56" i="19"/>
  <c r="AD56" i="19"/>
  <c r="H56" i="19"/>
  <c r="L56" i="19"/>
  <c r="AD55" i="19"/>
  <c r="Z55" i="19"/>
  <c r="H55" i="19"/>
  <c r="L55" i="19"/>
  <c r="Z54" i="19"/>
  <c r="AD54" i="19"/>
  <c r="H54" i="19"/>
  <c r="L54" i="19"/>
  <c r="Z53" i="19"/>
  <c r="AD53" i="19"/>
  <c r="H53" i="19"/>
  <c r="L53" i="19"/>
  <c r="Z52" i="19"/>
  <c r="AD52" i="19"/>
  <c r="H52" i="19"/>
  <c r="L52" i="19"/>
  <c r="Z51" i="19"/>
  <c r="AD51" i="19"/>
  <c r="H51" i="19"/>
  <c r="L51" i="19"/>
  <c r="Z50" i="19"/>
  <c r="AD50" i="19"/>
  <c r="H50" i="19"/>
  <c r="L50" i="19"/>
  <c r="Z49" i="19"/>
  <c r="AD49" i="19"/>
  <c r="H49" i="19"/>
  <c r="L49" i="19"/>
  <c r="Z48" i="19"/>
  <c r="AD48" i="19"/>
  <c r="H48" i="19"/>
  <c r="L48" i="19"/>
  <c r="Z47" i="19"/>
  <c r="AD47" i="19"/>
  <c r="H47" i="19"/>
  <c r="L47" i="19"/>
  <c r="Z46" i="19"/>
  <c r="AD46" i="19"/>
  <c r="H46" i="19"/>
  <c r="L46" i="19"/>
  <c r="Z45" i="19"/>
  <c r="AD45" i="19"/>
  <c r="H45" i="19"/>
  <c r="L45" i="19"/>
  <c r="Z44" i="19"/>
  <c r="AD44" i="19"/>
  <c r="H44" i="19"/>
  <c r="L44" i="19"/>
  <c r="Z43" i="19"/>
  <c r="AD43" i="19"/>
  <c r="H43" i="19"/>
  <c r="L43" i="19"/>
  <c r="Z42" i="19"/>
  <c r="AD42" i="19"/>
  <c r="H42" i="19"/>
  <c r="L42" i="19"/>
  <c r="Z41" i="19"/>
  <c r="AD41" i="19"/>
  <c r="H41" i="19"/>
  <c r="L41" i="19"/>
  <c r="Z40" i="19"/>
  <c r="AD40" i="19"/>
  <c r="H40" i="19"/>
  <c r="L40" i="19"/>
  <c r="Z39" i="19"/>
  <c r="AD39" i="19"/>
  <c r="H39" i="19"/>
  <c r="L39" i="19"/>
  <c r="Z38" i="19"/>
  <c r="AD38" i="19"/>
  <c r="H38" i="19"/>
  <c r="L38" i="19"/>
  <c r="Z37" i="19"/>
  <c r="AD37" i="19"/>
  <c r="H37" i="19"/>
  <c r="L37" i="19"/>
  <c r="Z36" i="19"/>
  <c r="AD36" i="19"/>
  <c r="H36" i="19"/>
  <c r="L36" i="19"/>
  <c r="Z35" i="19"/>
  <c r="AD35" i="19"/>
  <c r="H35" i="19"/>
  <c r="L35" i="19"/>
  <c r="Z34" i="19"/>
  <c r="AD34" i="19"/>
  <c r="H34" i="19"/>
  <c r="L34" i="19"/>
  <c r="Z33" i="19"/>
  <c r="AD33" i="19"/>
  <c r="H33" i="19"/>
  <c r="L33" i="19"/>
  <c r="Z32" i="19"/>
  <c r="AD32" i="19"/>
  <c r="H32" i="19"/>
  <c r="L32" i="19"/>
  <c r="Z31" i="19"/>
  <c r="AD31" i="19"/>
  <c r="H31" i="19"/>
  <c r="L31" i="19"/>
  <c r="Z30" i="19"/>
  <c r="AD30" i="19"/>
  <c r="H30" i="19"/>
  <c r="L30" i="19"/>
  <c r="Z29" i="19"/>
  <c r="AD29" i="19"/>
  <c r="H29" i="19"/>
  <c r="L29" i="19"/>
  <c r="Z28" i="19"/>
  <c r="AD28" i="19"/>
  <c r="H28" i="19"/>
  <c r="L28" i="19"/>
  <c r="Z27" i="19"/>
  <c r="AD27" i="19"/>
  <c r="H27" i="19"/>
  <c r="L27" i="19"/>
  <c r="Z26" i="19"/>
  <c r="AD26" i="19"/>
  <c r="H26" i="19"/>
  <c r="L26" i="19"/>
  <c r="Z25" i="19"/>
  <c r="AD25" i="19"/>
  <c r="H25" i="19"/>
  <c r="L25" i="19"/>
  <c r="Z24" i="19"/>
  <c r="AD24" i="19"/>
  <c r="H24" i="19"/>
  <c r="L24" i="19"/>
  <c r="Z23" i="19"/>
  <c r="AD23" i="19"/>
  <c r="H23" i="19"/>
  <c r="L23" i="19"/>
  <c r="Z22" i="19"/>
  <c r="AD22" i="19"/>
  <c r="H22" i="19"/>
  <c r="L22" i="19"/>
  <c r="Z21" i="19"/>
  <c r="AD21" i="19"/>
  <c r="H21" i="19"/>
  <c r="L21" i="19"/>
  <c r="Z20" i="19"/>
  <c r="AD20" i="19"/>
  <c r="H20" i="19"/>
  <c r="L20" i="19"/>
  <c r="Z19" i="19"/>
  <c r="AD19" i="19"/>
  <c r="H19" i="19"/>
  <c r="L19" i="19"/>
  <c r="Z18" i="19"/>
  <c r="AD18" i="19"/>
  <c r="H18" i="19"/>
  <c r="L18" i="19"/>
  <c r="Z17" i="19"/>
  <c r="AD17" i="19"/>
  <c r="H17" i="19"/>
  <c r="L17" i="19"/>
  <c r="Z16" i="19"/>
  <c r="AD16" i="19"/>
  <c r="H16" i="19"/>
  <c r="L16" i="19"/>
  <c r="Z15" i="19"/>
  <c r="AD15" i="19"/>
  <c r="H15" i="19"/>
  <c r="L15" i="19"/>
  <c r="Z14" i="19"/>
  <c r="AD14" i="19"/>
  <c r="H14" i="19"/>
  <c r="L14" i="19"/>
  <c r="Z13" i="19"/>
  <c r="AD13" i="19"/>
  <c r="H13" i="19"/>
  <c r="L13" i="19"/>
  <c r="Z12" i="19"/>
  <c r="AD12" i="19"/>
  <c r="H12" i="19"/>
  <c r="L12" i="19"/>
  <c r="Z11" i="19"/>
  <c r="AD11" i="19"/>
  <c r="H11" i="19"/>
  <c r="L11" i="19"/>
  <c r="Z10" i="19"/>
  <c r="AD10" i="19"/>
  <c r="H10" i="19"/>
  <c r="L10" i="19"/>
  <c r="AD9" i="19"/>
  <c r="Z9" i="19"/>
  <c r="H9" i="19"/>
  <c r="L9" i="19"/>
  <c r="Z8" i="19"/>
  <c r="AD8" i="19"/>
  <c r="H8" i="19"/>
  <c r="L8" i="19"/>
  <c r="A8" i="19"/>
  <c r="A9" i="19"/>
  <c r="A10" i="19"/>
  <c r="A11" i="19"/>
  <c r="A12" i="19"/>
  <c r="A13" i="19"/>
  <c r="A14" i="19"/>
  <c r="A15" i="19"/>
  <c r="A16" i="19"/>
  <c r="A17" i="19"/>
  <c r="A18" i="19"/>
  <c r="A19" i="19"/>
  <c r="A20" i="19"/>
  <c r="A21" i="19"/>
  <c r="A22" i="19"/>
  <c r="A23" i="19"/>
  <c r="A24" i="19"/>
  <c r="A25" i="19"/>
  <c r="A26" i="19"/>
  <c r="A27" i="19"/>
  <c r="A28" i="19"/>
  <c r="A29" i="19"/>
  <c r="A30" i="19"/>
  <c r="A31" i="19"/>
  <c r="A32" i="19"/>
  <c r="A33" i="19"/>
  <c r="A34" i="19"/>
  <c r="A35" i="19"/>
  <c r="A36" i="19"/>
  <c r="A37" i="19"/>
  <c r="A38" i="19"/>
  <c r="A39" i="19"/>
  <c r="A40" i="19"/>
  <c r="A41" i="19"/>
  <c r="A42" i="19"/>
  <c r="A43" i="19"/>
  <c r="A44" i="19"/>
  <c r="A45" i="19"/>
  <c r="A46" i="19"/>
  <c r="A47" i="19"/>
  <c r="A48" i="19"/>
  <c r="A49" i="19"/>
  <c r="A50" i="19"/>
  <c r="A51" i="19"/>
  <c r="A52" i="19"/>
  <c r="A53" i="19"/>
  <c r="A54" i="19"/>
  <c r="A55" i="19"/>
  <c r="A56" i="19"/>
  <c r="F7" i="19"/>
  <c r="H7" i="19"/>
  <c r="L7" i="19"/>
  <c r="Y6" i="19"/>
  <c r="X6" i="19"/>
  <c r="W6" i="19"/>
  <c r="V6" i="19"/>
  <c r="U6" i="19"/>
  <c r="T6" i="19"/>
  <c r="S6" i="19"/>
  <c r="R6" i="19"/>
  <c r="Q6" i="19"/>
  <c r="P6" i="19"/>
  <c r="O6" i="19"/>
  <c r="N6" i="19"/>
  <c r="M6" i="19"/>
  <c r="E16" i="18"/>
  <c r="E15" i="18"/>
  <c r="E14" i="18"/>
  <c r="E13" i="18"/>
  <c r="E12" i="18"/>
  <c r="E11" i="18"/>
  <c r="E10" i="18"/>
  <c r="E9" i="18"/>
  <c r="E8" i="18"/>
  <c r="E7" i="18"/>
  <c r="E17" i="18"/>
  <c r="E63" i="2"/>
  <c r="G6" i="18"/>
  <c r="H6" i="18"/>
  <c r="I6" i="18"/>
  <c r="J6" i="18"/>
  <c r="K6" i="18"/>
  <c r="L6" i="18"/>
  <c r="M6" i="18"/>
  <c r="N6" i="18"/>
  <c r="O6" i="18"/>
  <c r="P6" i="18"/>
  <c r="Q6" i="18"/>
  <c r="R6" i="18"/>
  <c r="F6" i="18"/>
  <c r="C3" i="17"/>
  <c r="A2" i="18"/>
  <c r="AA54" i="16"/>
  <c r="R54" i="16"/>
  <c r="I54" i="16"/>
  <c r="X53" i="16"/>
  <c r="AB53" i="16"/>
  <c r="AC53" i="16"/>
  <c r="O53" i="16"/>
  <c r="S53" i="16"/>
  <c r="T53" i="16"/>
  <c r="E53" i="16"/>
  <c r="X52" i="16"/>
  <c r="AB52" i="16"/>
  <c r="AC52" i="16"/>
  <c r="O52" i="16"/>
  <c r="S52" i="16"/>
  <c r="T52" i="16"/>
  <c r="E52" i="16"/>
  <c r="X51" i="16"/>
  <c r="AB51" i="16"/>
  <c r="AC51" i="16"/>
  <c r="O51" i="16"/>
  <c r="S51" i="16"/>
  <c r="T51" i="16"/>
  <c r="E51" i="16"/>
  <c r="X50" i="16"/>
  <c r="AB50" i="16"/>
  <c r="AC50" i="16"/>
  <c r="O50" i="16"/>
  <c r="S50" i="16"/>
  <c r="T50" i="16"/>
  <c r="E50" i="16"/>
  <c r="X49" i="16"/>
  <c r="AB49" i="16"/>
  <c r="AC49" i="16"/>
  <c r="O49" i="16"/>
  <c r="S49" i="16"/>
  <c r="T49" i="16"/>
  <c r="E49" i="16"/>
  <c r="AB48" i="16"/>
  <c r="AC48" i="16"/>
  <c r="X48" i="16"/>
  <c r="O48" i="16"/>
  <c r="S48" i="16"/>
  <c r="T48" i="16"/>
  <c r="E48" i="16"/>
  <c r="X47" i="16"/>
  <c r="AB47" i="16"/>
  <c r="AC47" i="16"/>
  <c r="O47" i="16"/>
  <c r="S47" i="16"/>
  <c r="T47" i="16"/>
  <c r="E47" i="16"/>
  <c r="X46" i="16"/>
  <c r="AB46" i="16"/>
  <c r="AC46" i="16"/>
  <c r="O46" i="16"/>
  <c r="S46" i="16"/>
  <c r="T46" i="16"/>
  <c r="E46" i="16"/>
  <c r="X45" i="16"/>
  <c r="AB45" i="16"/>
  <c r="AC45" i="16"/>
  <c r="O45" i="16"/>
  <c r="S45" i="16"/>
  <c r="T45" i="16"/>
  <c r="E45" i="16"/>
  <c r="X44" i="16"/>
  <c r="AB44" i="16"/>
  <c r="AC44" i="16"/>
  <c r="O44" i="16"/>
  <c r="S44" i="16"/>
  <c r="T44" i="16"/>
  <c r="E44" i="16"/>
  <c r="X43" i="16"/>
  <c r="AB43" i="16"/>
  <c r="AC43" i="16"/>
  <c r="O43" i="16"/>
  <c r="S43" i="16"/>
  <c r="T43" i="16"/>
  <c r="E43" i="16"/>
  <c r="X42" i="16"/>
  <c r="O42" i="16"/>
  <c r="E42" i="16"/>
  <c r="Z41" i="16"/>
  <c r="Q41" i="16"/>
  <c r="H41" i="16"/>
  <c r="E41" i="16"/>
  <c r="AA38" i="16"/>
  <c r="R38" i="16"/>
  <c r="I38" i="16"/>
  <c r="X37" i="16"/>
  <c r="O37" i="16"/>
  <c r="E37" i="16"/>
  <c r="X36" i="16"/>
  <c r="AB36" i="16"/>
  <c r="AC36" i="16"/>
  <c r="O36" i="16"/>
  <c r="S36" i="16"/>
  <c r="T36" i="16"/>
  <c r="E36" i="16"/>
  <c r="X35" i="16"/>
  <c r="AB35" i="16"/>
  <c r="AC35" i="16"/>
  <c r="O35" i="16"/>
  <c r="S35" i="16"/>
  <c r="T35" i="16"/>
  <c r="E35" i="16"/>
  <c r="X34" i="16"/>
  <c r="AB34" i="16"/>
  <c r="AC34" i="16"/>
  <c r="O34" i="16"/>
  <c r="S34" i="16"/>
  <c r="T34" i="16"/>
  <c r="E34" i="16"/>
  <c r="X33" i="16"/>
  <c r="AB33" i="16"/>
  <c r="AC33" i="16"/>
  <c r="O33" i="16"/>
  <c r="S33" i="16"/>
  <c r="T33" i="16"/>
  <c r="E33" i="16"/>
  <c r="X32" i="16"/>
  <c r="AB32" i="16"/>
  <c r="AC32" i="16"/>
  <c r="O32" i="16"/>
  <c r="S32" i="16"/>
  <c r="T32" i="16"/>
  <c r="E32" i="16"/>
  <c r="X31" i="16"/>
  <c r="AB31" i="16"/>
  <c r="AC31" i="16"/>
  <c r="O31" i="16"/>
  <c r="S31" i="16"/>
  <c r="T31" i="16"/>
  <c r="E31" i="16"/>
  <c r="X30" i="16"/>
  <c r="AB30" i="16"/>
  <c r="AC30" i="16"/>
  <c r="O30" i="16"/>
  <c r="S30" i="16"/>
  <c r="T30" i="16"/>
  <c r="E30" i="16"/>
  <c r="X29" i="16"/>
  <c r="AB29" i="16"/>
  <c r="AC29" i="16"/>
  <c r="O29" i="16"/>
  <c r="S29" i="16"/>
  <c r="T29" i="16"/>
  <c r="E29" i="16"/>
  <c r="AB28" i="16"/>
  <c r="AC28" i="16"/>
  <c r="X28" i="16"/>
  <c r="O28" i="16"/>
  <c r="S28" i="16"/>
  <c r="T28" i="16"/>
  <c r="E28" i="16"/>
  <c r="X27" i="16"/>
  <c r="AB27" i="16"/>
  <c r="AC27" i="16"/>
  <c r="O27" i="16"/>
  <c r="S27" i="16"/>
  <c r="T27" i="16"/>
  <c r="E27" i="16"/>
  <c r="X26" i="16"/>
  <c r="AB26" i="16"/>
  <c r="O26" i="16"/>
  <c r="S26" i="16"/>
  <c r="E26" i="16"/>
  <c r="Z25" i="16"/>
  <c r="Q25" i="16"/>
  <c r="E25" i="16"/>
  <c r="AA22" i="16"/>
  <c r="R22" i="16"/>
  <c r="I22" i="16"/>
  <c r="X21" i="16"/>
  <c r="AB21" i="16"/>
  <c r="AC21" i="16"/>
  <c r="O21" i="16"/>
  <c r="S21" i="16"/>
  <c r="T21" i="16"/>
  <c r="E21" i="16"/>
  <c r="X20" i="16"/>
  <c r="AB20" i="16"/>
  <c r="AC20" i="16"/>
  <c r="O20" i="16"/>
  <c r="S20" i="16"/>
  <c r="T20" i="16"/>
  <c r="E20" i="16"/>
  <c r="X19" i="16"/>
  <c r="AB19" i="16"/>
  <c r="AC19" i="16"/>
  <c r="O19" i="16"/>
  <c r="S19" i="16"/>
  <c r="T19" i="16"/>
  <c r="E19" i="16"/>
  <c r="X18" i="16"/>
  <c r="AB18" i="16"/>
  <c r="AC18" i="16"/>
  <c r="O18" i="16"/>
  <c r="S18" i="16"/>
  <c r="T18" i="16"/>
  <c r="E18" i="16"/>
  <c r="X17" i="16"/>
  <c r="O17" i="16"/>
  <c r="E17" i="16"/>
  <c r="X16" i="16"/>
  <c r="AB16" i="16"/>
  <c r="AC16" i="16"/>
  <c r="O16" i="16"/>
  <c r="S16" i="16"/>
  <c r="T16" i="16"/>
  <c r="E16" i="16"/>
  <c r="X15" i="16"/>
  <c r="AB15" i="16"/>
  <c r="AC15" i="16"/>
  <c r="O15" i="16"/>
  <c r="S15" i="16"/>
  <c r="T15" i="16"/>
  <c r="E15" i="16"/>
  <c r="X14" i="16"/>
  <c r="AB14" i="16"/>
  <c r="AC14" i="16"/>
  <c r="O14" i="16"/>
  <c r="S14" i="16"/>
  <c r="T14" i="16"/>
  <c r="E14" i="16"/>
  <c r="X13" i="16"/>
  <c r="AB13" i="16"/>
  <c r="AC13" i="16"/>
  <c r="O13" i="16"/>
  <c r="S13" i="16"/>
  <c r="T13" i="16"/>
  <c r="E13" i="16"/>
  <c r="X12" i="16"/>
  <c r="AB12" i="16"/>
  <c r="AC12" i="16"/>
  <c r="O12" i="16"/>
  <c r="S12" i="16"/>
  <c r="T12" i="16"/>
  <c r="E12" i="16"/>
  <c r="X11" i="16"/>
  <c r="AB11" i="16"/>
  <c r="AC11" i="16"/>
  <c r="O11" i="16"/>
  <c r="S11" i="16"/>
  <c r="T11" i="16"/>
  <c r="E11" i="16"/>
  <c r="X10" i="16"/>
  <c r="O10" i="16"/>
  <c r="E10" i="16"/>
  <c r="D10" i="16"/>
  <c r="A10" i="16"/>
  <c r="A11" i="16"/>
  <c r="A12" i="16"/>
  <c r="A13" i="16"/>
  <c r="A14" i="16"/>
  <c r="A15" i="16"/>
  <c r="A16" i="16"/>
  <c r="A17" i="16"/>
  <c r="A18" i="16"/>
  <c r="A19" i="16"/>
  <c r="A20" i="16"/>
  <c r="A21" i="16"/>
  <c r="A22" i="16"/>
  <c r="A25" i="16"/>
  <c r="A26" i="16"/>
  <c r="A27" i="16"/>
  <c r="A28" i="16"/>
  <c r="A29" i="16"/>
  <c r="A30" i="16"/>
  <c r="A31" i="16"/>
  <c r="A32" i="16"/>
  <c r="A33" i="16"/>
  <c r="A34" i="16"/>
  <c r="A35" i="16"/>
  <c r="A36" i="16"/>
  <c r="A37" i="16"/>
  <c r="A38" i="16"/>
  <c r="A41" i="16"/>
  <c r="A42" i="16"/>
  <c r="A43" i="16"/>
  <c r="A44" i="16"/>
  <c r="A45" i="16"/>
  <c r="A46" i="16"/>
  <c r="A47" i="16"/>
  <c r="A48" i="16"/>
  <c r="A49" i="16"/>
  <c r="A50" i="16"/>
  <c r="A51" i="16"/>
  <c r="A52" i="16"/>
  <c r="A53" i="16"/>
  <c r="A54" i="16"/>
  <c r="E9" i="16"/>
  <c r="D9" i="16"/>
  <c r="D25" i="16"/>
  <c r="D41" i="16"/>
  <c r="A2" i="16"/>
  <c r="D23" i="15"/>
  <c r="D22" i="15"/>
  <c r="D28" i="15"/>
  <c r="D34" i="15"/>
  <c r="A10" i="15"/>
  <c r="A11" i="15"/>
  <c r="A12" i="15"/>
  <c r="A13" i="15"/>
  <c r="A14" i="15"/>
  <c r="A15" i="15"/>
  <c r="A16" i="15"/>
  <c r="A22" i="15"/>
  <c r="A23" i="15"/>
  <c r="A24" i="15"/>
  <c r="A25" i="15"/>
  <c r="A28" i="15"/>
  <c r="A29" i="15"/>
  <c r="A30" i="15"/>
  <c r="A31" i="15"/>
  <c r="A34" i="15"/>
  <c r="A35" i="15"/>
  <c r="A36" i="15"/>
  <c r="A37" i="15"/>
  <c r="A2" i="15"/>
  <c r="G75" i="14"/>
  <c r="G78" i="14"/>
  <c r="F75" i="14"/>
  <c r="F78" i="14"/>
  <c r="D75" i="14"/>
  <c r="D78" i="14"/>
  <c r="E75" i="14"/>
  <c r="E78" i="14"/>
  <c r="C74" i="14"/>
  <c r="C73" i="14"/>
  <c r="C75" i="14"/>
  <c r="C78" i="14"/>
  <c r="G51" i="14"/>
  <c r="G54" i="14"/>
  <c r="F51" i="14"/>
  <c r="F54" i="14"/>
  <c r="D51" i="14"/>
  <c r="D54" i="14"/>
  <c r="E51" i="14"/>
  <c r="E54" i="14"/>
  <c r="C50" i="14"/>
  <c r="C48" i="14"/>
  <c r="C51" i="14"/>
  <c r="C54" i="14"/>
  <c r="G29" i="14"/>
  <c r="G32" i="14"/>
  <c r="F29" i="14"/>
  <c r="F32" i="14"/>
  <c r="D29" i="14"/>
  <c r="D32" i="14"/>
  <c r="E29" i="14"/>
  <c r="E32" i="14"/>
  <c r="C28" i="14"/>
  <c r="C27" i="14"/>
  <c r="C26" i="14"/>
  <c r="C29" i="14"/>
  <c r="C32" i="14"/>
  <c r="A10" i="14"/>
  <c r="A11" i="14"/>
  <c r="A12" i="14"/>
  <c r="A19" i="14"/>
  <c r="A20" i="14"/>
  <c r="A21" i="14"/>
  <c r="A22" i="14"/>
  <c r="A23" i="14"/>
  <c r="A24" i="14"/>
  <c r="A25" i="14"/>
  <c r="A26" i="14"/>
  <c r="A27" i="14"/>
  <c r="A28" i="14"/>
  <c r="A29" i="14"/>
  <c r="A30" i="14"/>
  <c r="A31" i="14"/>
  <c r="A32" i="14"/>
  <c r="A43" i="14"/>
  <c r="A44" i="14"/>
  <c r="A45" i="14"/>
  <c r="A46" i="14"/>
  <c r="A47" i="14"/>
  <c r="A48" i="14"/>
  <c r="A49" i="14"/>
  <c r="A50" i="14"/>
  <c r="A51" i="14"/>
  <c r="A52" i="14"/>
  <c r="A53" i="14"/>
  <c r="A54" i="14"/>
  <c r="A65" i="14"/>
  <c r="A66" i="14"/>
  <c r="A67" i="14"/>
  <c r="A68" i="14"/>
  <c r="A69" i="14"/>
  <c r="A70" i="14"/>
  <c r="A71" i="14"/>
  <c r="A72" i="14"/>
  <c r="A73" i="14"/>
  <c r="A74" i="14"/>
  <c r="A75" i="14"/>
  <c r="A76" i="14"/>
  <c r="A77" i="14"/>
  <c r="A78" i="14"/>
  <c r="G75" i="13"/>
  <c r="G78" i="13"/>
  <c r="F75" i="13"/>
  <c r="F78" i="13"/>
  <c r="D75" i="13"/>
  <c r="D78" i="13"/>
  <c r="C74" i="13"/>
  <c r="C73" i="13"/>
  <c r="C72" i="13"/>
  <c r="C75" i="13"/>
  <c r="C78" i="13"/>
  <c r="G51" i="13"/>
  <c r="G54" i="13"/>
  <c r="F51" i="13"/>
  <c r="F54" i="13"/>
  <c r="D51" i="13"/>
  <c r="D54" i="13"/>
  <c r="E51" i="13"/>
  <c r="E54" i="13"/>
  <c r="C50" i="13"/>
  <c r="C48" i="13"/>
  <c r="C51" i="13"/>
  <c r="C54" i="13"/>
  <c r="G29" i="13"/>
  <c r="G32" i="13"/>
  <c r="F29" i="13"/>
  <c r="F32" i="13"/>
  <c r="E29" i="13"/>
  <c r="E32" i="13"/>
  <c r="D29" i="13"/>
  <c r="D32" i="13"/>
  <c r="C29" i="13"/>
  <c r="C32" i="13"/>
  <c r="C28" i="13"/>
  <c r="C27" i="13"/>
  <c r="C26" i="13"/>
  <c r="A10" i="13"/>
  <c r="A11" i="13"/>
  <c r="A12" i="13"/>
  <c r="A19" i="13"/>
  <c r="A20" i="13"/>
  <c r="A21" i="13"/>
  <c r="A22" i="13"/>
  <c r="A23" i="13"/>
  <c r="A24" i="13"/>
  <c r="A25" i="13"/>
  <c r="A26" i="13"/>
  <c r="A27" i="13"/>
  <c r="A28" i="13"/>
  <c r="A29" i="13"/>
  <c r="A30" i="13"/>
  <c r="A31" i="13"/>
  <c r="A32" i="13"/>
  <c r="A43" i="13"/>
  <c r="A44" i="13"/>
  <c r="A45" i="13"/>
  <c r="A46" i="13"/>
  <c r="A47" i="13"/>
  <c r="A48" i="13"/>
  <c r="A49" i="13"/>
  <c r="A50" i="13"/>
  <c r="A51" i="13"/>
  <c r="A52" i="13"/>
  <c r="A53" i="13"/>
  <c r="A54" i="13"/>
  <c r="A65" i="13"/>
  <c r="A66" i="13"/>
  <c r="A67" i="13"/>
  <c r="A68" i="13"/>
  <c r="A69" i="13"/>
  <c r="A70" i="13"/>
  <c r="A71" i="13"/>
  <c r="A72" i="13"/>
  <c r="A73" i="13"/>
  <c r="A74" i="13"/>
  <c r="A75" i="13"/>
  <c r="A76" i="13"/>
  <c r="A77" i="13"/>
  <c r="A78" i="13"/>
  <c r="E53" i="12"/>
  <c r="E52" i="12"/>
  <c r="E51" i="12"/>
  <c r="E50" i="12"/>
  <c r="E49" i="12"/>
  <c r="E48" i="12"/>
  <c r="E47" i="12"/>
  <c r="E46" i="12"/>
  <c r="E45" i="12"/>
  <c r="E44" i="12"/>
  <c r="E43" i="12"/>
  <c r="F42" i="12"/>
  <c r="E42" i="12"/>
  <c r="E41" i="12"/>
  <c r="E37" i="12"/>
  <c r="E36" i="12"/>
  <c r="E35" i="12"/>
  <c r="E34" i="12"/>
  <c r="E33" i="12"/>
  <c r="E32" i="12"/>
  <c r="E31" i="12"/>
  <c r="E30" i="12"/>
  <c r="E29" i="12"/>
  <c r="E28" i="12"/>
  <c r="E27" i="12"/>
  <c r="E26" i="12"/>
  <c r="E25" i="12"/>
  <c r="E21" i="12"/>
  <c r="E20" i="12"/>
  <c r="E19" i="12"/>
  <c r="E18" i="12"/>
  <c r="E17" i="12"/>
  <c r="E16" i="12"/>
  <c r="E15" i="12"/>
  <c r="E14" i="12"/>
  <c r="E13" i="12"/>
  <c r="E12" i="12"/>
  <c r="E11" i="12"/>
  <c r="F10" i="12"/>
  <c r="E10" i="12"/>
  <c r="D10" i="12"/>
  <c r="A10" i="12"/>
  <c r="A11" i="12"/>
  <c r="A12" i="12"/>
  <c r="A13" i="12"/>
  <c r="A14" i="12"/>
  <c r="A15" i="12"/>
  <c r="A16" i="12"/>
  <c r="A17" i="12"/>
  <c r="A18" i="12"/>
  <c r="A19" i="12"/>
  <c r="A20" i="12"/>
  <c r="A21" i="12"/>
  <c r="A22" i="12"/>
  <c r="A25" i="12"/>
  <c r="A26" i="12"/>
  <c r="A27" i="12"/>
  <c r="A28" i="12"/>
  <c r="A29" i="12"/>
  <c r="A30" i="12"/>
  <c r="A31" i="12"/>
  <c r="A32" i="12"/>
  <c r="A33" i="12"/>
  <c r="A34" i="12"/>
  <c r="A35" i="12"/>
  <c r="A36" i="12"/>
  <c r="A37" i="12"/>
  <c r="A38" i="12"/>
  <c r="A41" i="12"/>
  <c r="A42" i="12"/>
  <c r="A43" i="12"/>
  <c r="A44" i="12"/>
  <c r="A45" i="12"/>
  <c r="A46" i="12"/>
  <c r="A47" i="12"/>
  <c r="A48" i="12"/>
  <c r="A49" i="12"/>
  <c r="A50" i="12"/>
  <c r="A51" i="12"/>
  <c r="A52" i="12"/>
  <c r="A53" i="12"/>
  <c r="A54" i="12"/>
  <c r="E9" i="12"/>
  <c r="D9" i="12"/>
  <c r="D25" i="12"/>
  <c r="D41" i="12"/>
  <c r="A3" i="12"/>
  <c r="A2" i="12"/>
  <c r="D23" i="11"/>
  <c r="D22" i="11"/>
  <c r="D28" i="11"/>
  <c r="D34" i="11"/>
  <c r="G11" i="11"/>
  <c r="F11" i="11"/>
  <c r="A11" i="11"/>
  <c r="A12" i="11"/>
  <c r="A13" i="11"/>
  <c r="A14" i="11"/>
  <c r="A15" i="11"/>
  <c r="A16" i="11"/>
  <c r="A22" i="11"/>
  <c r="A23" i="11"/>
  <c r="A24" i="11"/>
  <c r="A25" i="11"/>
  <c r="A28" i="11"/>
  <c r="A29" i="11"/>
  <c r="A30" i="11"/>
  <c r="A31" i="11"/>
  <c r="A34" i="11"/>
  <c r="A35" i="11"/>
  <c r="A36" i="11"/>
  <c r="A37" i="11"/>
  <c r="A10" i="11"/>
  <c r="A3" i="11"/>
  <c r="A2" i="11"/>
  <c r="E43" i="10"/>
  <c r="E45" i="10"/>
  <c r="D37" i="10"/>
  <c r="D38" i="10"/>
  <c r="D39" i="10"/>
  <c r="D40" i="10"/>
  <c r="D41" i="10"/>
  <c r="D42" i="10"/>
  <c r="E21" i="10"/>
  <c r="D21" i="10"/>
  <c r="F19" i="10"/>
  <c r="H19" i="10"/>
  <c r="F18" i="10"/>
  <c r="H18" i="10"/>
  <c r="F17" i="10"/>
  <c r="H17" i="10"/>
  <c r="F16" i="10"/>
  <c r="H16" i="10"/>
  <c r="F14" i="10"/>
  <c r="B8" i="10"/>
  <c r="C52" i="9"/>
  <c r="E51" i="9"/>
  <c r="E50" i="9"/>
  <c r="E49" i="9"/>
  <c r="E48" i="9"/>
  <c r="I30" i="9"/>
  <c r="H30" i="9"/>
  <c r="G30" i="9"/>
  <c r="A3" i="9"/>
  <c r="AF27" i="8"/>
  <c r="AD27" i="8"/>
  <c r="AH27" i="8"/>
  <c r="AF26" i="8"/>
  <c r="AD26" i="8"/>
  <c r="AH26" i="8"/>
  <c r="AH25" i="8"/>
  <c r="AF25" i="8"/>
  <c r="AD25" i="8"/>
  <c r="AF24" i="8"/>
  <c r="AD24" i="8"/>
  <c r="AH24" i="8"/>
  <c r="AF23" i="8"/>
  <c r="AD23" i="8"/>
  <c r="AH23" i="8"/>
  <c r="AF22" i="8"/>
  <c r="AD22" i="8"/>
  <c r="AH22" i="8"/>
  <c r="AF21" i="8"/>
  <c r="AD21" i="8"/>
  <c r="AH21" i="8"/>
  <c r="AF20" i="8"/>
  <c r="AD20" i="8"/>
  <c r="AH20" i="8"/>
  <c r="AF19" i="8"/>
  <c r="AD19" i="8"/>
  <c r="AH19" i="8"/>
  <c r="AF18" i="8"/>
  <c r="AD18" i="8"/>
  <c r="AH18" i="8"/>
  <c r="AF17" i="8"/>
  <c r="AD17" i="8"/>
  <c r="AH17" i="8"/>
  <c r="AF16" i="8"/>
  <c r="AD16" i="8"/>
  <c r="AH16" i="8"/>
  <c r="AF15" i="8"/>
  <c r="AD15" i="8"/>
  <c r="AH15" i="8"/>
  <c r="AF14" i="8"/>
  <c r="AD14" i="8"/>
  <c r="AH14" i="8"/>
  <c r="AF13" i="8"/>
  <c r="AD13" i="8"/>
  <c r="AH13" i="8"/>
  <c r="AF12" i="8"/>
  <c r="AD12" i="8"/>
  <c r="AH12" i="8"/>
  <c r="AF11" i="8"/>
  <c r="AD11" i="8"/>
  <c r="AH11" i="8"/>
  <c r="AF10" i="8"/>
  <c r="AD10" i="8"/>
  <c r="AH10" i="8"/>
  <c r="AF9" i="8"/>
  <c r="AD9" i="8"/>
  <c r="AH9" i="8"/>
  <c r="AF8" i="8"/>
  <c r="AD8" i="8"/>
  <c r="AH8" i="8"/>
  <c r="A2" i="8"/>
  <c r="Q2" i="8"/>
  <c r="Q1" i="8"/>
  <c r="D24" i="7"/>
  <c r="B22" i="7"/>
  <c r="G14" i="7"/>
  <c r="A9" i="7"/>
  <c r="A12" i="7"/>
  <c r="A2" i="7"/>
  <c r="P43" i="6"/>
  <c r="H180" i="2"/>
  <c r="P36" i="6"/>
  <c r="B25" i="6"/>
  <c r="Q24" i="6"/>
  <c r="Q23" i="6"/>
  <c r="Q22" i="6"/>
  <c r="Q21" i="6"/>
  <c r="P25" i="6"/>
  <c r="O25" i="6"/>
  <c r="N25" i="6"/>
  <c r="M25" i="6"/>
  <c r="L25" i="6"/>
  <c r="K25" i="6"/>
  <c r="J25" i="6"/>
  <c r="I25" i="6"/>
  <c r="H25" i="6"/>
  <c r="G25" i="6"/>
  <c r="F25" i="6"/>
  <c r="E25" i="6"/>
  <c r="Q18" i="6"/>
  <c r="E180" i="2"/>
  <c r="Q15" i="6"/>
  <c r="P16" i="6"/>
  <c r="P27" i="6"/>
  <c r="O16" i="6"/>
  <c r="O27" i="6"/>
  <c r="N16" i="6"/>
  <c r="N27" i="6"/>
  <c r="M16" i="6"/>
  <c r="M27" i="6"/>
  <c r="L16" i="6"/>
  <c r="L27" i="6"/>
  <c r="K16" i="6"/>
  <c r="K27" i="6"/>
  <c r="J16" i="6"/>
  <c r="J27" i="6"/>
  <c r="I16" i="6"/>
  <c r="I27" i="6"/>
  <c r="H16" i="6"/>
  <c r="H27" i="6"/>
  <c r="G16" i="6"/>
  <c r="G27" i="6"/>
  <c r="F16" i="6"/>
  <c r="F27" i="6"/>
  <c r="E16" i="6"/>
  <c r="E27" i="6"/>
  <c r="Q13" i="6"/>
  <c r="Q12" i="6"/>
  <c r="A2" i="6"/>
  <c r="E95" i="5"/>
  <c r="E97" i="5"/>
  <c r="E100" i="5"/>
  <c r="E100" i="2"/>
  <c r="D94" i="5"/>
  <c r="G85" i="5"/>
  <c r="G84" i="5"/>
  <c r="G83" i="5"/>
  <c r="G82" i="5"/>
  <c r="G81" i="5"/>
  <c r="G80" i="5"/>
  <c r="G79" i="5"/>
  <c r="G78" i="5"/>
  <c r="G77" i="5"/>
  <c r="G76" i="5"/>
  <c r="G75" i="5"/>
  <c r="G74" i="5"/>
  <c r="G73" i="5"/>
  <c r="G87" i="5"/>
  <c r="E67" i="2"/>
  <c r="A62" i="5"/>
  <c r="A73" i="5"/>
  <c r="A74" i="5"/>
  <c r="A75" i="5"/>
  <c r="A76" i="5"/>
  <c r="A77" i="5"/>
  <c r="A78" i="5"/>
  <c r="A79" i="5"/>
  <c r="A80" i="5"/>
  <c r="A81" i="5"/>
  <c r="A82" i="5"/>
  <c r="A83" i="5"/>
  <c r="A84" i="5"/>
  <c r="A85" i="5"/>
  <c r="A87" i="5"/>
  <c r="A92" i="5"/>
  <c r="A93" i="5"/>
  <c r="A94" i="5"/>
  <c r="A95" i="5"/>
  <c r="A96" i="5"/>
  <c r="A97" i="5"/>
  <c r="A98" i="5"/>
  <c r="A99" i="5"/>
  <c r="A100" i="5"/>
  <c r="A11" i="6"/>
  <c r="G60" i="5"/>
  <c r="I55" i="5"/>
  <c r="E98" i="2"/>
  <c r="I45" i="5"/>
  <c r="A45" i="5"/>
  <c r="H22" i="5"/>
  <c r="H19" i="5"/>
  <c r="H18" i="5"/>
  <c r="H17" i="5"/>
  <c r="F25" i="5"/>
  <c r="E68" i="2"/>
  <c r="H16" i="5"/>
  <c r="H15" i="5"/>
  <c r="H14" i="5"/>
  <c r="E13" i="5"/>
  <c r="E14" i="5"/>
  <c r="E15" i="5"/>
  <c r="E16" i="5"/>
  <c r="E17" i="5"/>
  <c r="E18" i="5"/>
  <c r="E19" i="5"/>
  <c r="E20" i="5"/>
  <c r="E21" i="5"/>
  <c r="E22" i="5"/>
  <c r="E23" i="5"/>
  <c r="E24" i="5"/>
  <c r="E12" i="5"/>
  <c r="A12" i="5"/>
  <c r="A13" i="5"/>
  <c r="A14" i="5"/>
  <c r="A15" i="5"/>
  <c r="A16" i="5"/>
  <c r="A17" i="5"/>
  <c r="A18" i="5"/>
  <c r="A19" i="5"/>
  <c r="A20" i="5"/>
  <c r="A21" i="5"/>
  <c r="A22" i="5"/>
  <c r="A23" i="5"/>
  <c r="A24" i="5"/>
  <c r="G7" i="5"/>
  <c r="A2" i="5"/>
  <c r="F105" i="4"/>
  <c r="F89" i="4"/>
  <c r="E46" i="2"/>
  <c r="F73" i="4"/>
  <c r="F52" i="4"/>
  <c r="F36" i="4"/>
  <c r="E41" i="2"/>
  <c r="E51" i="2"/>
  <c r="E8" i="4"/>
  <c r="F20" i="4"/>
  <c r="E7" i="4"/>
  <c r="E23" i="4"/>
  <c r="E39" i="4"/>
  <c r="E60" i="4"/>
  <c r="E76" i="4"/>
  <c r="E92" i="4"/>
  <c r="A7" i="4"/>
  <c r="A2" i="4"/>
  <c r="C46" i="3"/>
  <c r="C32" i="3"/>
  <c r="C31" i="3"/>
  <c r="F29" i="3"/>
  <c r="F33" i="3"/>
  <c r="E29" i="3"/>
  <c r="E33" i="3"/>
  <c r="D29" i="3"/>
  <c r="D33" i="3"/>
  <c r="C28" i="3"/>
  <c r="C27" i="3"/>
  <c r="C25" i="3"/>
  <c r="C29" i="3"/>
  <c r="C33" i="3"/>
  <c r="C35" i="3"/>
  <c r="A12" i="3"/>
  <c r="A13" i="3"/>
  <c r="A15" i="3"/>
  <c r="D17" i="2"/>
  <c r="A9" i="3"/>
  <c r="C15" i="3"/>
  <c r="D6" i="3"/>
  <c r="D15" i="3"/>
  <c r="E17" i="2"/>
  <c r="A2" i="3"/>
  <c r="E201" i="2"/>
  <c r="C191" i="2"/>
  <c r="H181" i="2"/>
  <c r="C177" i="2"/>
  <c r="E174" i="2"/>
  <c r="J165" i="2"/>
  <c r="C165" i="2"/>
  <c r="J164" i="2"/>
  <c r="C164" i="2"/>
  <c r="E157" i="2"/>
  <c r="C128" i="2"/>
  <c r="E127" i="2"/>
  <c r="E126" i="2"/>
  <c r="E125" i="2"/>
  <c r="C123" i="2"/>
  <c r="E120" i="2"/>
  <c r="D119" i="2"/>
  <c r="G116" i="2"/>
  <c r="J115" i="2"/>
  <c r="E117" i="2"/>
  <c r="G112" i="2"/>
  <c r="C109" i="2"/>
  <c r="C104" i="2"/>
  <c r="E99" i="2"/>
  <c r="J95" i="2"/>
  <c r="C68" i="2"/>
  <c r="C67" i="2"/>
  <c r="C65" i="2"/>
  <c r="A61" i="2"/>
  <c r="A63" i="2"/>
  <c r="A65" i="2"/>
  <c r="A66" i="2"/>
  <c r="E56" i="2"/>
  <c r="C54" i="2"/>
  <c r="A4" i="5"/>
  <c r="G46" i="2"/>
  <c r="G45" i="2"/>
  <c r="G63" i="2"/>
  <c r="G67" i="2"/>
  <c r="E32" i="2"/>
  <c r="E85" i="2"/>
  <c r="G17" i="2"/>
  <c r="C17" i="2"/>
  <c r="A17" i="2"/>
  <c r="M7" i="2"/>
  <c r="J68" i="1"/>
  <c r="E68" i="1"/>
  <c r="B23" i="1"/>
  <c r="B24" i="1"/>
  <c r="B15" i="1"/>
  <c r="B8" i="1"/>
  <c r="B11" i="1"/>
  <c r="A1" i="1"/>
  <c r="F26" i="25"/>
  <c r="G10" i="25"/>
  <c r="G26" i="25"/>
  <c r="E25" i="24"/>
  <c r="H11" i="24"/>
  <c r="W7" i="20"/>
  <c r="W32" i="20"/>
  <c r="E58" i="2"/>
  <c r="J58" i="2"/>
  <c r="Q32" i="20"/>
  <c r="J106" i="2"/>
  <c r="E107" i="2"/>
  <c r="N7" i="19"/>
  <c r="L57" i="19"/>
  <c r="E96" i="2"/>
  <c r="A2" i="19"/>
  <c r="F2" i="18"/>
  <c r="A2" i="23"/>
  <c r="A2" i="24"/>
  <c r="A2" i="25"/>
  <c r="AE53" i="16"/>
  <c r="AD53" i="16"/>
  <c r="V53" i="16"/>
  <c r="U53" i="16"/>
  <c r="P53" i="16"/>
  <c r="Y53" i="16"/>
  <c r="G53" i="16"/>
  <c r="AD52" i="16"/>
  <c r="AE52" i="16"/>
  <c r="U52" i="16"/>
  <c r="V52" i="16"/>
  <c r="Y52" i="16"/>
  <c r="P52" i="16"/>
  <c r="G52" i="16"/>
  <c r="AD51" i="16"/>
  <c r="AE51" i="16"/>
  <c r="U51" i="16"/>
  <c r="V51" i="16"/>
  <c r="P51" i="16"/>
  <c r="Y51" i="16"/>
  <c r="G51" i="16"/>
  <c r="AD50" i="16"/>
  <c r="AE50" i="16"/>
  <c r="U50" i="16"/>
  <c r="V50" i="16"/>
  <c r="G50" i="16"/>
  <c r="Y50" i="16"/>
  <c r="P50" i="16"/>
  <c r="AD49" i="16"/>
  <c r="AE49" i="16"/>
  <c r="V49" i="16"/>
  <c r="U49" i="16"/>
  <c r="G49" i="16"/>
  <c r="Y49" i="16"/>
  <c r="P49" i="16"/>
  <c r="AE48" i="16"/>
  <c r="AD48" i="16"/>
  <c r="U48" i="16"/>
  <c r="V48" i="16"/>
  <c r="Y48" i="16"/>
  <c r="G48" i="16"/>
  <c r="P48" i="16"/>
  <c r="AD47" i="16"/>
  <c r="AE47" i="16"/>
  <c r="U47" i="16"/>
  <c r="V47" i="16"/>
  <c r="Y47" i="16"/>
  <c r="P47" i="16"/>
  <c r="G47" i="16"/>
  <c r="AD46" i="16"/>
  <c r="AE46" i="16"/>
  <c r="U46" i="16"/>
  <c r="V46" i="16"/>
  <c r="G46" i="16"/>
  <c r="P46" i="16"/>
  <c r="Y46" i="16"/>
  <c r="AD45" i="16"/>
  <c r="AE45" i="16"/>
  <c r="U45" i="16"/>
  <c r="V45" i="16"/>
  <c r="P45" i="16"/>
  <c r="G45" i="16"/>
  <c r="Y45" i="16"/>
  <c r="AD44" i="16"/>
  <c r="AE44" i="16"/>
  <c r="U44" i="16"/>
  <c r="V44" i="16"/>
  <c r="Y44" i="16"/>
  <c r="P44" i="16"/>
  <c r="G44" i="16"/>
  <c r="AD43" i="16"/>
  <c r="AE43" i="16"/>
  <c r="U43" i="16"/>
  <c r="V43" i="16"/>
  <c r="Y43" i="16"/>
  <c r="P43" i="16"/>
  <c r="G43" i="16"/>
  <c r="X54" i="16"/>
  <c r="AB42" i="16"/>
  <c r="O54" i="16"/>
  <c r="S42" i="16"/>
  <c r="G42" i="16"/>
  <c r="P42" i="16"/>
  <c r="Y42" i="16"/>
  <c r="AB37" i="16"/>
  <c r="AC37" i="16"/>
  <c r="X38" i="16"/>
  <c r="Y37" i="16"/>
  <c r="P37" i="16"/>
  <c r="S37" i="16"/>
  <c r="T37" i="16"/>
  <c r="O38" i="16"/>
  <c r="AD36" i="16"/>
  <c r="AE36" i="16"/>
  <c r="U36" i="16"/>
  <c r="V36" i="16"/>
  <c r="Y36" i="16"/>
  <c r="P36" i="16"/>
  <c r="AD35" i="16"/>
  <c r="AE35" i="16"/>
  <c r="U35" i="16"/>
  <c r="V35" i="16"/>
  <c r="Y35" i="16"/>
  <c r="P35" i="16"/>
  <c r="AD34" i="16"/>
  <c r="AE34" i="16"/>
  <c r="U34" i="16"/>
  <c r="V34" i="16"/>
  <c r="Y34" i="16"/>
  <c r="P34" i="16"/>
  <c r="AD33" i="16"/>
  <c r="AE33" i="16"/>
  <c r="U33" i="16"/>
  <c r="V33" i="16"/>
  <c r="Y33" i="16"/>
  <c r="P33" i="16"/>
  <c r="AD32" i="16"/>
  <c r="AE32" i="16"/>
  <c r="U32" i="16"/>
  <c r="V32" i="16"/>
  <c r="P32" i="16"/>
  <c r="Y32" i="16"/>
  <c r="AD31" i="16"/>
  <c r="AE31" i="16"/>
  <c r="U31" i="16"/>
  <c r="V31" i="16"/>
  <c r="P31" i="16"/>
  <c r="Y31" i="16"/>
  <c r="AD30" i="16"/>
  <c r="AE30" i="16"/>
  <c r="U30" i="16"/>
  <c r="V30" i="16"/>
  <c r="Y30" i="16"/>
  <c r="P30" i="16"/>
  <c r="AD29" i="16"/>
  <c r="AE29" i="16"/>
  <c r="U29" i="16"/>
  <c r="V29" i="16"/>
  <c r="Y29" i="16"/>
  <c r="P29" i="16"/>
  <c r="AD28" i="16"/>
  <c r="AE28" i="16"/>
  <c r="U28" i="16"/>
  <c r="V28" i="16"/>
  <c r="Y28" i="16"/>
  <c r="P28" i="16"/>
  <c r="AD27" i="16"/>
  <c r="AE27" i="16"/>
  <c r="U27" i="16"/>
  <c r="V27" i="16"/>
  <c r="P27" i="16"/>
  <c r="Y27" i="16"/>
  <c r="AC26" i="16"/>
  <c r="AB38" i="16"/>
  <c r="T26" i="16"/>
  <c r="S38" i="16"/>
  <c r="P26" i="16"/>
  <c r="Y26" i="16"/>
  <c r="AD21" i="16"/>
  <c r="AE21" i="16"/>
  <c r="U21" i="16"/>
  <c r="V21" i="16"/>
  <c r="G21" i="16"/>
  <c r="Y21" i="16"/>
  <c r="P21" i="16"/>
  <c r="AD20" i="16"/>
  <c r="AE20" i="16"/>
  <c r="U20" i="16"/>
  <c r="V20" i="16"/>
  <c r="Y20" i="16"/>
  <c r="P20" i="16"/>
  <c r="AD19" i="16"/>
  <c r="AE19" i="16"/>
  <c r="U19" i="16"/>
  <c r="V19" i="16"/>
  <c r="Y19" i="16"/>
  <c r="P19" i="16"/>
  <c r="G19" i="16"/>
  <c r="AD18" i="16"/>
  <c r="AE18" i="16"/>
  <c r="U18" i="16"/>
  <c r="V18" i="16"/>
  <c r="Y18" i="16"/>
  <c r="P18" i="16"/>
  <c r="G18" i="16"/>
  <c r="Y17" i="16"/>
  <c r="AB17" i="16"/>
  <c r="AC17" i="16"/>
  <c r="S17" i="16"/>
  <c r="T17" i="16"/>
  <c r="P17" i="16"/>
  <c r="AD16" i="16"/>
  <c r="AE16" i="16"/>
  <c r="U16" i="16"/>
  <c r="V16" i="16"/>
  <c r="Y16" i="16"/>
  <c r="P16" i="16"/>
  <c r="G16" i="16"/>
  <c r="AD15" i="16"/>
  <c r="AE15" i="16"/>
  <c r="U15" i="16"/>
  <c r="V15" i="16"/>
  <c r="Y15" i="16"/>
  <c r="P15" i="16"/>
  <c r="G15" i="16"/>
  <c r="AD14" i="16"/>
  <c r="AE14" i="16"/>
  <c r="U14" i="16"/>
  <c r="V14" i="16"/>
  <c r="Y14" i="16"/>
  <c r="P14" i="16"/>
  <c r="G14" i="16"/>
  <c r="AD13" i="16"/>
  <c r="AE13" i="16"/>
  <c r="U13" i="16"/>
  <c r="V13" i="16"/>
  <c r="G13" i="16"/>
  <c r="Y13" i="16"/>
  <c r="P13" i="16"/>
  <c r="AD12" i="16"/>
  <c r="AE12" i="16"/>
  <c r="U12" i="16"/>
  <c r="V12" i="16"/>
  <c r="Y12" i="16"/>
  <c r="P12" i="16"/>
  <c r="G12" i="16"/>
  <c r="AD11" i="16"/>
  <c r="AE11" i="16"/>
  <c r="U11" i="16"/>
  <c r="V11" i="16"/>
  <c r="G11" i="16"/>
  <c r="P11" i="16"/>
  <c r="Y11" i="16"/>
  <c r="AB10" i="16"/>
  <c r="X22" i="16"/>
  <c r="O22" i="16"/>
  <c r="S10" i="16"/>
  <c r="Y10" i="16"/>
  <c r="P10" i="16"/>
  <c r="G10" i="16"/>
  <c r="D11" i="16"/>
  <c r="D26" i="16"/>
  <c r="D42" i="16"/>
  <c r="D24" i="15"/>
  <c r="D30" i="15"/>
  <c r="D36" i="15"/>
  <c r="D29" i="15"/>
  <c r="D35" i="15"/>
  <c r="H29" i="15"/>
  <c r="H29" i="11"/>
  <c r="G10" i="14"/>
  <c r="G29" i="15"/>
  <c r="G29" i="11"/>
  <c r="F10" i="14"/>
  <c r="F29" i="15"/>
  <c r="F29" i="11"/>
  <c r="E10" i="14"/>
  <c r="E29" i="15"/>
  <c r="E29" i="11"/>
  <c r="H23" i="15"/>
  <c r="H23" i="11"/>
  <c r="G9" i="14"/>
  <c r="G23" i="15"/>
  <c r="G23" i="11"/>
  <c r="F9" i="14"/>
  <c r="F23" i="15"/>
  <c r="F23" i="11"/>
  <c r="E9" i="14"/>
  <c r="E23" i="15"/>
  <c r="E23" i="11"/>
  <c r="H35" i="15"/>
  <c r="H35" i="11"/>
  <c r="H37" i="11"/>
  <c r="G11" i="14"/>
  <c r="G35" i="15"/>
  <c r="G35" i="11"/>
  <c r="F11" i="14"/>
  <c r="F35" i="15"/>
  <c r="F35" i="11"/>
  <c r="E11" i="14"/>
  <c r="E35" i="15"/>
  <c r="E35" i="11"/>
  <c r="H28" i="15"/>
  <c r="K25" i="12"/>
  <c r="G10" i="13"/>
  <c r="H28" i="11"/>
  <c r="G28" i="15"/>
  <c r="I25" i="12"/>
  <c r="F10" i="13"/>
  <c r="G28" i="11"/>
  <c r="H25" i="16"/>
  <c r="F26" i="12"/>
  <c r="E75" i="13"/>
  <c r="E78" i="13"/>
  <c r="E28" i="15"/>
  <c r="F25" i="12"/>
  <c r="E28" i="11"/>
  <c r="H22" i="15"/>
  <c r="Z9" i="16"/>
  <c r="K9" i="12"/>
  <c r="G9" i="13"/>
  <c r="G12" i="13"/>
  <c r="H22" i="11"/>
  <c r="G22" i="15"/>
  <c r="G22" i="11"/>
  <c r="Q9" i="16"/>
  <c r="I9" i="12"/>
  <c r="F9" i="13"/>
  <c r="F22" i="15"/>
  <c r="H9" i="16"/>
  <c r="F22" i="11"/>
  <c r="G9" i="12"/>
  <c r="E9" i="13"/>
  <c r="E22" i="15"/>
  <c r="E22" i="11"/>
  <c r="F9" i="12"/>
  <c r="H34" i="15"/>
  <c r="K41" i="12"/>
  <c r="K54" i="12"/>
  <c r="G11" i="13"/>
  <c r="H34" i="11"/>
  <c r="G34" i="15"/>
  <c r="I41" i="12"/>
  <c r="F11" i="13"/>
  <c r="G34" i="11"/>
  <c r="F34" i="15"/>
  <c r="G41" i="12"/>
  <c r="E11" i="13"/>
  <c r="F34" i="11"/>
  <c r="E34" i="15"/>
  <c r="F41" i="12"/>
  <c r="E34" i="11"/>
  <c r="L53" i="12"/>
  <c r="J53" i="12"/>
  <c r="J52" i="12"/>
  <c r="L52" i="12"/>
  <c r="L51" i="12"/>
  <c r="J51" i="12"/>
  <c r="L50" i="12"/>
  <c r="J50" i="12"/>
  <c r="L49" i="12"/>
  <c r="J49" i="12"/>
  <c r="L48" i="12"/>
  <c r="J48" i="12"/>
  <c r="J47" i="12"/>
  <c r="L47" i="12"/>
  <c r="L46" i="12"/>
  <c r="J46" i="12"/>
  <c r="J45" i="12"/>
  <c r="L45" i="12"/>
  <c r="L44" i="12"/>
  <c r="J44" i="12"/>
  <c r="L43" i="12"/>
  <c r="J43" i="12"/>
  <c r="F51" i="12"/>
  <c r="G51" i="12"/>
  <c r="F45" i="12"/>
  <c r="G45" i="12"/>
  <c r="F48" i="12"/>
  <c r="G48" i="12"/>
  <c r="F44" i="12"/>
  <c r="G44" i="12"/>
  <c r="F47" i="12"/>
  <c r="G47" i="12"/>
  <c r="F43" i="12"/>
  <c r="G43" i="12"/>
  <c r="G42" i="12"/>
  <c r="F42" i="16"/>
  <c r="F46" i="12"/>
  <c r="G46" i="12"/>
  <c r="F49" i="12"/>
  <c r="G49" i="12"/>
  <c r="F52" i="12"/>
  <c r="G52" i="12"/>
  <c r="F50" i="12"/>
  <c r="G50" i="12"/>
  <c r="F53" i="12"/>
  <c r="G53" i="12"/>
  <c r="J42" i="12"/>
  <c r="H42" i="12"/>
  <c r="L42" i="12"/>
  <c r="L41" i="12"/>
  <c r="L54" i="12"/>
  <c r="H36" i="11"/>
  <c r="H41" i="12"/>
  <c r="L37" i="12"/>
  <c r="J37" i="12"/>
  <c r="J36" i="12"/>
  <c r="L36" i="12"/>
  <c r="J35" i="12"/>
  <c r="L35" i="12"/>
  <c r="J34" i="12"/>
  <c r="L34" i="12"/>
  <c r="J33" i="12"/>
  <c r="L33" i="12"/>
  <c r="J32" i="12"/>
  <c r="L32" i="12"/>
  <c r="L31" i="12"/>
  <c r="J31" i="12"/>
  <c r="L30" i="12"/>
  <c r="J30" i="12"/>
  <c r="J29" i="12"/>
  <c r="L29" i="12"/>
  <c r="L28" i="12"/>
  <c r="J28" i="12"/>
  <c r="J27" i="12"/>
  <c r="L27" i="12"/>
  <c r="L26" i="12"/>
  <c r="J26" i="12"/>
  <c r="L21" i="12"/>
  <c r="J21" i="12"/>
  <c r="L20" i="12"/>
  <c r="J20" i="12"/>
  <c r="J19" i="12"/>
  <c r="L19" i="12"/>
  <c r="L18" i="12"/>
  <c r="J18" i="12"/>
  <c r="L17" i="12"/>
  <c r="J17" i="12"/>
  <c r="L16" i="12"/>
  <c r="J16" i="12"/>
  <c r="L15" i="12"/>
  <c r="J15" i="12"/>
  <c r="H14" i="12"/>
  <c r="J14" i="12"/>
  <c r="L14" i="12"/>
  <c r="L13" i="12"/>
  <c r="J13" i="12"/>
  <c r="L12" i="12"/>
  <c r="J12" i="12"/>
  <c r="L11" i="12"/>
  <c r="J11" i="12"/>
  <c r="F15" i="12"/>
  <c r="G15" i="12"/>
  <c r="F19" i="12"/>
  <c r="G19" i="12"/>
  <c r="F14" i="12"/>
  <c r="G14" i="12"/>
  <c r="F14" i="16"/>
  <c r="J14" i="16"/>
  <c r="K14" i="16"/>
  <c r="F21" i="12"/>
  <c r="G21" i="12"/>
  <c r="F20" i="12"/>
  <c r="G20" i="12"/>
  <c r="F18" i="12"/>
  <c r="G18" i="12"/>
  <c r="F17" i="12"/>
  <c r="G17" i="12"/>
  <c r="F16" i="12"/>
  <c r="G16" i="12"/>
  <c r="F13" i="12"/>
  <c r="G13" i="12"/>
  <c r="F12" i="12"/>
  <c r="G12" i="12"/>
  <c r="F11" i="12"/>
  <c r="G11" i="12"/>
  <c r="G10" i="12"/>
  <c r="F10" i="16"/>
  <c r="L10" i="12"/>
  <c r="J10" i="12"/>
  <c r="H10" i="12"/>
  <c r="D26" i="12"/>
  <c r="D42" i="12"/>
  <c r="D11" i="12"/>
  <c r="H9" i="12"/>
  <c r="D29" i="11"/>
  <c r="D35" i="11"/>
  <c r="D24" i="11"/>
  <c r="D30" i="11"/>
  <c r="D36" i="11"/>
  <c r="G14" i="10"/>
  <c r="G21" i="10"/>
  <c r="H14" i="10"/>
  <c r="H21" i="10"/>
  <c r="E18" i="2"/>
  <c r="J18" i="2"/>
  <c r="A13" i="7"/>
  <c r="A14" i="7"/>
  <c r="A15" i="7"/>
  <c r="A16" i="7"/>
  <c r="A18" i="7"/>
  <c r="A19" i="7"/>
  <c r="B21" i="7"/>
  <c r="G13" i="7"/>
  <c r="D25" i="6"/>
  <c r="Q20" i="6"/>
  <c r="Q25" i="6"/>
  <c r="E181" i="2"/>
  <c r="D13" i="7"/>
  <c r="Q14" i="6"/>
  <c r="Q16" i="6"/>
  <c r="D16" i="6"/>
  <c r="D27" i="6"/>
  <c r="E179" i="2"/>
  <c r="Q27" i="6"/>
  <c r="P38" i="6"/>
  <c r="H179" i="2"/>
  <c r="A12" i="6"/>
  <c r="A13" i="6"/>
  <c r="A14" i="6"/>
  <c r="A15" i="6"/>
  <c r="A16" i="6"/>
  <c r="C16" i="6"/>
  <c r="H23" i="5"/>
  <c r="H24" i="5"/>
  <c r="H21" i="5"/>
  <c r="H20" i="5"/>
  <c r="D25" i="5"/>
  <c r="A25" i="5"/>
  <c r="F107" i="4"/>
  <c r="E45" i="2"/>
  <c r="E47" i="2"/>
  <c r="E24" i="4"/>
  <c r="E40" i="4"/>
  <c r="E61" i="4"/>
  <c r="E77" i="4"/>
  <c r="E93" i="4"/>
  <c r="E9" i="4"/>
  <c r="F54" i="4"/>
  <c r="E40" i="2"/>
  <c r="A8" i="4"/>
  <c r="A9" i="4"/>
  <c r="A10" i="4"/>
  <c r="A11" i="4"/>
  <c r="A12" i="4"/>
  <c r="A13" i="4"/>
  <c r="A14" i="4"/>
  <c r="A15" i="4"/>
  <c r="A16" i="4"/>
  <c r="A17" i="4"/>
  <c r="A18" i="4"/>
  <c r="A19" i="4"/>
  <c r="E124" i="2"/>
  <c r="E131" i="2"/>
  <c r="D19" i="7"/>
  <c r="D23" i="7"/>
  <c r="D27" i="7"/>
  <c r="A67" i="2"/>
  <c r="A68" i="2"/>
  <c r="A69" i="2"/>
  <c r="A71" i="2"/>
  <c r="C69" i="2"/>
  <c r="D20" i="2"/>
  <c r="A18" i="2"/>
  <c r="A20" i="2"/>
  <c r="A40" i="2"/>
  <c r="A3" i="15"/>
  <c r="B2" i="14"/>
  <c r="B2" i="13"/>
  <c r="A3" i="16"/>
  <c r="M32" i="2"/>
  <c r="M85" i="2"/>
  <c r="M157" i="2"/>
  <c r="M200" i="2"/>
  <c r="H33" i="23"/>
  <c r="D25" i="24"/>
  <c r="H10" i="24"/>
  <c r="H25" i="24"/>
  <c r="E97" i="2"/>
  <c r="O7" i="19"/>
  <c r="P7" i="19"/>
  <c r="Q7" i="19"/>
  <c r="R7" i="19"/>
  <c r="S7" i="19"/>
  <c r="T7" i="19"/>
  <c r="U7" i="19"/>
  <c r="V7" i="19"/>
  <c r="W7" i="19"/>
  <c r="X7" i="19"/>
  <c r="Y7" i="19"/>
  <c r="Z7" i="19"/>
  <c r="AD7" i="19"/>
  <c r="AD57" i="19"/>
  <c r="E59" i="2"/>
  <c r="J59" i="2"/>
  <c r="H190" i="2"/>
  <c r="J96" i="2"/>
  <c r="E94" i="2"/>
  <c r="E93" i="2"/>
  <c r="E101" i="2"/>
  <c r="M2" i="19"/>
  <c r="Z2" i="19"/>
  <c r="A2" i="20"/>
  <c r="AC42" i="16"/>
  <c r="AB54" i="16"/>
  <c r="T42" i="16"/>
  <c r="S54" i="16"/>
  <c r="H42" i="16"/>
  <c r="H43" i="16"/>
  <c r="H44" i="16"/>
  <c r="H45" i="16"/>
  <c r="H46" i="16"/>
  <c r="H47" i="16"/>
  <c r="H48" i="16"/>
  <c r="H49" i="16"/>
  <c r="H50" i="16"/>
  <c r="H51" i="16"/>
  <c r="H52" i="16"/>
  <c r="H53" i="16"/>
  <c r="G54" i="16"/>
  <c r="Q42" i="16"/>
  <c r="Q43" i="16"/>
  <c r="P54" i="16"/>
  <c r="Z42" i="16"/>
  <c r="Z43" i="16"/>
  <c r="Z44" i="16"/>
  <c r="Z45" i="16"/>
  <c r="Z46" i="16"/>
  <c r="Z47" i="16"/>
  <c r="Z48" i="16"/>
  <c r="Z49" i="16"/>
  <c r="Z50" i="16"/>
  <c r="Z51" i="16"/>
  <c r="Z52" i="16"/>
  <c r="Z53" i="16"/>
  <c r="Y54" i="16"/>
  <c r="AE37" i="16"/>
  <c r="AD37" i="16"/>
  <c r="V37" i="16"/>
  <c r="U37" i="16"/>
  <c r="AD26" i="16"/>
  <c r="AD38" i="16"/>
  <c r="AE26" i="16"/>
  <c r="AE38" i="16"/>
  <c r="AC38" i="16"/>
  <c r="U26" i="16"/>
  <c r="U38" i="16"/>
  <c r="V26" i="16"/>
  <c r="V38" i="16"/>
  <c r="T38" i="16"/>
  <c r="Q26" i="16"/>
  <c r="Q27" i="16"/>
  <c r="W26" i="16"/>
  <c r="W27" i="16"/>
  <c r="W28" i="16"/>
  <c r="W29" i="16"/>
  <c r="W30" i="16"/>
  <c r="W31" i="16"/>
  <c r="W32" i="16"/>
  <c r="W33" i="16"/>
  <c r="W34" i="16"/>
  <c r="W35" i="16"/>
  <c r="W36" i="16"/>
  <c r="W37" i="16"/>
  <c r="G30" i="15"/>
  <c r="G31" i="15"/>
  <c r="F10" i="15"/>
  <c r="P38" i="16"/>
  <c r="Z26" i="16"/>
  <c r="Z27" i="16"/>
  <c r="Z28" i="16"/>
  <c r="Z29" i="16"/>
  <c r="Z30" i="16"/>
  <c r="Z31" i="16"/>
  <c r="Z32" i="16"/>
  <c r="Z33" i="16"/>
  <c r="Z34" i="16"/>
  <c r="Z35" i="16"/>
  <c r="Z36" i="16"/>
  <c r="Z37" i="16"/>
  <c r="AF26" i="16"/>
  <c r="AF27" i="16"/>
  <c r="AF28" i="16"/>
  <c r="AF29" i="16"/>
  <c r="AF30" i="16"/>
  <c r="AF31" i="16"/>
  <c r="AF32" i="16"/>
  <c r="AF33" i="16"/>
  <c r="AF34" i="16"/>
  <c r="AF35" i="16"/>
  <c r="AF36" i="16"/>
  <c r="AF37" i="16"/>
  <c r="H30" i="15"/>
  <c r="H31" i="15"/>
  <c r="G10" i="15"/>
  <c r="Y38" i="16"/>
  <c r="AD17" i="16"/>
  <c r="AE17" i="16"/>
  <c r="U17" i="16"/>
  <c r="V17" i="16"/>
  <c r="AB22" i="16"/>
  <c r="AC10" i="16"/>
  <c r="T10" i="16"/>
  <c r="S22" i="16"/>
  <c r="Y22" i="16"/>
  <c r="Z10" i="16"/>
  <c r="Z11" i="16"/>
  <c r="Z12" i="16"/>
  <c r="Z13" i="16"/>
  <c r="Z14" i="16"/>
  <c r="Z15" i="16"/>
  <c r="Z16" i="16"/>
  <c r="Z17" i="16"/>
  <c r="Z18" i="16"/>
  <c r="Z19" i="16"/>
  <c r="Z20" i="16"/>
  <c r="Z21" i="16"/>
  <c r="Q10" i="16"/>
  <c r="Q11" i="16"/>
  <c r="Q12" i="16"/>
  <c r="P22" i="16"/>
  <c r="H10" i="16"/>
  <c r="H11" i="16"/>
  <c r="D12" i="16"/>
  <c r="D27" i="16"/>
  <c r="D43" i="16"/>
  <c r="J25" i="12"/>
  <c r="J38" i="12"/>
  <c r="G30" i="11"/>
  <c r="G31" i="11"/>
  <c r="F10" i="11"/>
  <c r="I38" i="12"/>
  <c r="G26" i="12"/>
  <c r="F27" i="12"/>
  <c r="F33" i="12"/>
  <c r="G33" i="12"/>
  <c r="F34" i="12"/>
  <c r="G34" i="12"/>
  <c r="F35" i="12"/>
  <c r="G35" i="12"/>
  <c r="F36" i="12"/>
  <c r="G36" i="12"/>
  <c r="F37" i="12"/>
  <c r="G37" i="12"/>
  <c r="F30" i="12"/>
  <c r="G30" i="12"/>
  <c r="F31" i="12"/>
  <c r="G31" i="12"/>
  <c r="F32" i="12"/>
  <c r="G32" i="12"/>
  <c r="F28" i="12"/>
  <c r="G28" i="12"/>
  <c r="F29" i="12"/>
  <c r="G29" i="12"/>
  <c r="F28" i="15"/>
  <c r="G25" i="12"/>
  <c r="E10" i="13"/>
  <c r="E12" i="13"/>
  <c r="F28" i="11"/>
  <c r="I22" i="12"/>
  <c r="J9" i="12"/>
  <c r="J22" i="12"/>
  <c r="G24" i="11"/>
  <c r="G25" i="11"/>
  <c r="F9" i="11"/>
  <c r="J41" i="12"/>
  <c r="J54" i="12"/>
  <c r="G36" i="11"/>
  <c r="G37" i="11"/>
  <c r="I54" i="12"/>
  <c r="J42" i="16"/>
  <c r="F54" i="16"/>
  <c r="E36" i="15"/>
  <c r="E37" i="15"/>
  <c r="L14" i="16"/>
  <c r="M14" i="16"/>
  <c r="F22" i="16"/>
  <c r="E24" i="15"/>
  <c r="E25" i="15"/>
  <c r="J10" i="16"/>
  <c r="D12" i="12"/>
  <c r="D27" i="12"/>
  <c r="D43" i="12"/>
  <c r="A20" i="7"/>
  <c r="B23" i="7"/>
  <c r="D14" i="7"/>
  <c r="F179" i="2"/>
  <c r="E182" i="2"/>
  <c r="D12" i="7"/>
  <c r="D15" i="7"/>
  <c r="G12" i="7"/>
  <c r="A17" i="6"/>
  <c r="A18" i="6"/>
  <c r="A19" i="6"/>
  <c r="A20" i="6"/>
  <c r="E10" i="4"/>
  <c r="E25" i="4"/>
  <c r="E41" i="4"/>
  <c r="E62" i="4"/>
  <c r="E78" i="4"/>
  <c r="E94" i="4"/>
  <c r="E42" i="2"/>
  <c r="E50" i="2"/>
  <c r="E52" i="2"/>
  <c r="J163" i="2"/>
  <c r="E129" i="2"/>
  <c r="E130" i="2"/>
  <c r="A92" i="2"/>
  <c r="A93" i="2"/>
  <c r="A41" i="2"/>
  <c r="C42" i="2"/>
  <c r="C163" i="2"/>
  <c r="E66" i="2"/>
  <c r="E69" i="2"/>
  <c r="Q28" i="16"/>
  <c r="Q29" i="16"/>
  <c r="Q30" i="16"/>
  <c r="Q31" i="16"/>
  <c r="Q32" i="16"/>
  <c r="Q33" i="16"/>
  <c r="Q34" i="16"/>
  <c r="Q35" i="16"/>
  <c r="Q36" i="16"/>
  <c r="Q37" i="16"/>
  <c r="Q13" i="16"/>
  <c r="Q14" i="16"/>
  <c r="Q15" i="16"/>
  <c r="Q16" i="16"/>
  <c r="Q17" i="16"/>
  <c r="Q18" i="16"/>
  <c r="Q19" i="16"/>
  <c r="Q20" i="16"/>
  <c r="Q21" i="16"/>
  <c r="H12" i="16"/>
  <c r="H13" i="16"/>
  <c r="H14" i="16"/>
  <c r="H15" i="16"/>
  <c r="H16" i="16"/>
  <c r="G12" i="14"/>
  <c r="Q44" i="16"/>
  <c r="Q45" i="16"/>
  <c r="Q46" i="16"/>
  <c r="Q47" i="16"/>
  <c r="Q48" i="16"/>
  <c r="Q49" i="16"/>
  <c r="Q50" i="16"/>
  <c r="Q51" i="16"/>
  <c r="Q52" i="16"/>
  <c r="Q53" i="16"/>
  <c r="E12" i="14"/>
  <c r="F12" i="13"/>
  <c r="G22" i="12"/>
  <c r="F22" i="12"/>
  <c r="G54" i="12"/>
  <c r="F54" i="12"/>
  <c r="F12" i="14"/>
  <c r="K38" i="12"/>
  <c r="L25" i="12"/>
  <c r="L38" i="12"/>
  <c r="H30" i="11"/>
  <c r="H31" i="11"/>
  <c r="G10" i="11"/>
  <c r="K22" i="12"/>
  <c r="L9" i="12"/>
  <c r="L22" i="12"/>
  <c r="H24" i="11"/>
  <c r="H25" i="11"/>
  <c r="G9" i="11"/>
  <c r="G12" i="11"/>
  <c r="F51" i="16"/>
  <c r="J51" i="16"/>
  <c r="K51" i="16"/>
  <c r="H51" i="12"/>
  <c r="F45" i="16"/>
  <c r="J45" i="16"/>
  <c r="K45" i="16"/>
  <c r="H45" i="12"/>
  <c r="F48" i="16"/>
  <c r="J48" i="16"/>
  <c r="K48" i="16"/>
  <c r="H48" i="12"/>
  <c r="F44" i="16"/>
  <c r="J44" i="16"/>
  <c r="K44" i="16"/>
  <c r="H44" i="12"/>
  <c r="F47" i="16"/>
  <c r="J47" i="16"/>
  <c r="K47" i="16"/>
  <c r="H47" i="12"/>
  <c r="F43" i="16"/>
  <c r="J43" i="16"/>
  <c r="K43" i="16"/>
  <c r="H43" i="12"/>
  <c r="H54" i="12"/>
  <c r="F36" i="11"/>
  <c r="F46" i="16"/>
  <c r="J46" i="16"/>
  <c r="K46" i="16"/>
  <c r="H46" i="12"/>
  <c r="F49" i="16"/>
  <c r="J49" i="16"/>
  <c r="K49" i="16"/>
  <c r="H49" i="12"/>
  <c r="F52" i="16"/>
  <c r="J52" i="16"/>
  <c r="K52" i="16"/>
  <c r="H52" i="12"/>
  <c r="F50" i="16"/>
  <c r="J50" i="16"/>
  <c r="K50" i="16"/>
  <c r="H50" i="12"/>
  <c r="F53" i="16"/>
  <c r="J53" i="16"/>
  <c r="K53" i="16"/>
  <c r="H53" i="12"/>
  <c r="F15" i="16"/>
  <c r="J15" i="16"/>
  <c r="K15" i="16"/>
  <c r="H15" i="12"/>
  <c r="F19" i="16"/>
  <c r="J19" i="16"/>
  <c r="K19" i="16"/>
  <c r="H19" i="12"/>
  <c r="F21" i="16"/>
  <c r="J21" i="16"/>
  <c r="K21" i="16"/>
  <c r="H21" i="12"/>
  <c r="F20" i="16"/>
  <c r="H20" i="12"/>
  <c r="F18" i="16"/>
  <c r="J18" i="16"/>
  <c r="K18" i="16"/>
  <c r="H18" i="12"/>
  <c r="F17" i="16"/>
  <c r="H17" i="12"/>
  <c r="F16" i="16"/>
  <c r="J16" i="16"/>
  <c r="K16" i="16"/>
  <c r="H16" i="12"/>
  <c r="F13" i="16"/>
  <c r="J13" i="16"/>
  <c r="K13" i="16"/>
  <c r="H13" i="12"/>
  <c r="F12" i="16"/>
  <c r="J12" i="16"/>
  <c r="K12" i="16"/>
  <c r="H12" i="12"/>
  <c r="F11" i="16"/>
  <c r="J11" i="16"/>
  <c r="K11" i="16"/>
  <c r="H11" i="12"/>
  <c r="H22" i="12"/>
  <c r="F24" i="11"/>
  <c r="A20" i="4"/>
  <c r="D20" i="4"/>
  <c r="L2" i="20"/>
  <c r="B2" i="21"/>
  <c r="AD42" i="16"/>
  <c r="AE42" i="16"/>
  <c r="AE54" i="16"/>
  <c r="AC54" i="16"/>
  <c r="U42" i="16"/>
  <c r="V42" i="16"/>
  <c r="V54" i="16"/>
  <c r="T54" i="16"/>
  <c r="AD10" i="16"/>
  <c r="AE10" i="16"/>
  <c r="AE22" i="16"/>
  <c r="AC22" i="16"/>
  <c r="U10" i="16"/>
  <c r="V10" i="16"/>
  <c r="V22" i="16"/>
  <c r="T22" i="16"/>
  <c r="D13" i="16"/>
  <c r="D28" i="16"/>
  <c r="D44" i="16"/>
  <c r="H26" i="12"/>
  <c r="F26" i="16"/>
  <c r="F38" i="12"/>
  <c r="G27" i="12"/>
  <c r="H33" i="12"/>
  <c r="F33" i="16"/>
  <c r="H34" i="12"/>
  <c r="F34" i="16"/>
  <c r="H35" i="12"/>
  <c r="F35" i="16"/>
  <c r="H36" i="12"/>
  <c r="F36" i="16"/>
  <c r="H37" i="12"/>
  <c r="F37" i="16"/>
  <c r="H30" i="12"/>
  <c r="F30" i="16"/>
  <c r="H31" i="12"/>
  <c r="F31" i="16"/>
  <c r="H32" i="12"/>
  <c r="F32" i="16"/>
  <c r="H28" i="12"/>
  <c r="F28" i="16"/>
  <c r="H29" i="12"/>
  <c r="F29" i="16"/>
  <c r="H25" i="12"/>
  <c r="G38" i="12"/>
  <c r="K42" i="16"/>
  <c r="J54" i="16"/>
  <c r="K10" i="16"/>
  <c r="D13" i="12"/>
  <c r="D28" i="12"/>
  <c r="D44" i="12"/>
  <c r="A21" i="7"/>
  <c r="A22" i="7"/>
  <c r="A23" i="7"/>
  <c r="B26" i="7"/>
  <c r="A21" i="6"/>
  <c r="A22" i="6"/>
  <c r="A23" i="6"/>
  <c r="A24" i="6"/>
  <c r="A25" i="6"/>
  <c r="C25" i="6"/>
  <c r="E11" i="4"/>
  <c r="E26" i="4"/>
  <c r="E42" i="4"/>
  <c r="E63" i="4"/>
  <c r="E79" i="4"/>
  <c r="E95" i="4"/>
  <c r="J166" i="2"/>
  <c r="J168" i="2"/>
  <c r="A94" i="2"/>
  <c r="A97" i="2"/>
  <c r="A98" i="2"/>
  <c r="A99" i="2"/>
  <c r="A100" i="2"/>
  <c r="A101" i="2"/>
  <c r="C101" i="2"/>
  <c r="A42" i="2"/>
  <c r="A44" i="2"/>
  <c r="A45" i="2"/>
  <c r="F25" i="11"/>
  <c r="E9" i="11"/>
  <c r="E24" i="11"/>
  <c r="E25" i="11"/>
  <c r="L51" i="16"/>
  <c r="M51" i="16"/>
  <c r="M45" i="16"/>
  <c r="L45" i="16"/>
  <c r="M48" i="16"/>
  <c r="L48" i="16"/>
  <c r="M44" i="16"/>
  <c r="L44" i="16"/>
  <c r="M47" i="16"/>
  <c r="L47" i="16"/>
  <c r="M43" i="16"/>
  <c r="L43" i="16"/>
  <c r="F37" i="11"/>
  <c r="E11" i="11"/>
  <c r="E36" i="11"/>
  <c r="E37" i="11"/>
  <c r="M46" i="16"/>
  <c r="L46" i="16"/>
  <c r="M49" i="16"/>
  <c r="L49" i="16"/>
  <c r="M52" i="16"/>
  <c r="L52" i="16"/>
  <c r="M50" i="16"/>
  <c r="L50" i="16"/>
  <c r="M53" i="16"/>
  <c r="L53" i="16"/>
  <c r="M15" i="16"/>
  <c r="L15" i="16"/>
  <c r="M19" i="16"/>
  <c r="L19" i="16"/>
  <c r="M21" i="16"/>
  <c r="L21" i="16"/>
  <c r="G20" i="16"/>
  <c r="J20" i="16"/>
  <c r="K20" i="16"/>
  <c r="M18" i="16"/>
  <c r="L18" i="16"/>
  <c r="J17" i="16"/>
  <c r="G17" i="16"/>
  <c r="M16" i="16"/>
  <c r="L16" i="16"/>
  <c r="M13" i="16"/>
  <c r="L13" i="16"/>
  <c r="M12" i="16"/>
  <c r="L12" i="16"/>
  <c r="M11" i="16"/>
  <c r="L11" i="16"/>
  <c r="A22" i="4"/>
  <c r="A23" i="4"/>
  <c r="F12" i="11"/>
  <c r="E12" i="7"/>
  <c r="I12" i="7"/>
  <c r="J179" i="2"/>
  <c r="F180" i="2"/>
  <c r="F181" i="2"/>
  <c r="H2" i="21"/>
  <c r="U2" i="21"/>
  <c r="A2" i="26"/>
  <c r="AF42" i="16"/>
  <c r="AF43" i="16"/>
  <c r="AF44" i="16"/>
  <c r="AF45" i="16"/>
  <c r="AF46" i="16"/>
  <c r="AF47" i="16"/>
  <c r="AF48" i="16"/>
  <c r="AF49" i="16"/>
  <c r="AF50" i="16"/>
  <c r="AF51" i="16"/>
  <c r="AF52" i="16"/>
  <c r="AF53" i="16"/>
  <c r="H36" i="15"/>
  <c r="H37" i="15"/>
  <c r="G11" i="15"/>
  <c r="AD54" i="16"/>
  <c r="W42" i="16"/>
  <c r="W43" i="16"/>
  <c r="W44" i="16"/>
  <c r="W45" i="16"/>
  <c r="W46" i="16"/>
  <c r="W47" i="16"/>
  <c r="W48" i="16"/>
  <c r="W49" i="16"/>
  <c r="W50" i="16"/>
  <c r="W51" i="16"/>
  <c r="W52" i="16"/>
  <c r="W53" i="16"/>
  <c r="G36" i="15"/>
  <c r="G37" i="15"/>
  <c r="F11" i="15"/>
  <c r="U54" i="16"/>
  <c r="AF10" i="16"/>
  <c r="AF11" i="16"/>
  <c r="AF12" i="16"/>
  <c r="AF13" i="16"/>
  <c r="AF14" i="16"/>
  <c r="AF15" i="16"/>
  <c r="AF16" i="16"/>
  <c r="AF17" i="16"/>
  <c r="AF18" i="16"/>
  <c r="AF19" i="16"/>
  <c r="AF20" i="16"/>
  <c r="AF21" i="16"/>
  <c r="H24" i="15"/>
  <c r="H25" i="15"/>
  <c r="G9" i="15"/>
  <c r="G12" i="15"/>
  <c r="G16" i="15"/>
  <c r="AD22" i="16"/>
  <c r="W10" i="16"/>
  <c r="W11" i="16"/>
  <c r="W12" i="16"/>
  <c r="W13" i="16"/>
  <c r="W14" i="16"/>
  <c r="W15" i="16"/>
  <c r="W16" i="16"/>
  <c r="W17" i="16"/>
  <c r="W18" i="16"/>
  <c r="W19" i="16"/>
  <c r="W20" i="16"/>
  <c r="W21" i="16"/>
  <c r="G24" i="15"/>
  <c r="G25" i="15"/>
  <c r="F9" i="15"/>
  <c r="F12" i="15"/>
  <c r="F16" i="15"/>
  <c r="U22" i="16"/>
  <c r="D14" i="16"/>
  <c r="D29" i="16"/>
  <c r="D45" i="16"/>
  <c r="G26" i="16"/>
  <c r="J26" i="16"/>
  <c r="H27" i="12"/>
  <c r="H38" i="12"/>
  <c r="F30" i="11"/>
  <c r="F27" i="16"/>
  <c r="F38" i="16"/>
  <c r="E30" i="15"/>
  <c r="E31" i="15"/>
  <c r="G33" i="16"/>
  <c r="J33" i="16"/>
  <c r="K33" i="16"/>
  <c r="G34" i="16"/>
  <c r="J34" i="16"/>
  <c r="K34" i="16"/>
  <c r="G35" i="16"/>
  <c r="J35" i="16"/>
  <c r="K35" i="16"/>
  <c r="G36" i="16"/>
  <c r="J36" i="16"/>
  <c r="K36" i="16"/>
  <c r="G37" i="16"/>
  <c r="J37" i="16"/>
  <c r="K37" i="16"/>
  <c r="G30" i="16"/>
  <c r="J30" i="16"/>
  <c r="K30" i="16"/>
  <c r="G31" i="16"/>
  <c r="J31" i="16"/>
  <c r="K31" i="16"/>
  <c r="G32" i="16"/>
  <c r="J32" i="16"/>
  <c r="K32" i="16"/>
  <c r="G28" i="16"/>
  <c r="J28" i="16"/>
  <c r="K28" i="16"/>
  <c r="G29" i="16"/>
  <c r="J29" i="16"/>
  <c r="K29" i="16"/>
  <c r="F31" i="11"/>
  <c r="E10" i="11"/>
  <c r="E12" i="11"/>
  <c r="E16" i="11"/>
  <c r="E30" i="11"/>
  <c r="E31" i="11"/>
  <c r="N42" i="16"/>
  <c r="N43" i="16"/>
  <c r="N44" i="16"/>
  <c r="N45" i="16"/>
  <c r="N46" i="16"/>
  <c r="N47" i="16"/>
  <c r="N48" i="16"/>
  <c r="N49" i="16"/>
  <c r="N50" i="16"/>
  <c r="N51" i="16"/>
  <c r="N52" i="16"/>
  <c r="N53" i="16"/>
  <c r="F36" i="15"/>
  <c r="F37" i="15"/>
  <c r="E11" i="15"/>
  <c r="L42" i="16"/>
  <c r="L54" i="16"/>
  <c r="M42" i="16"/>
  <c r="M54" i="16"/>
  <c r="K54" i="16"/>
  <c r="N10" i="16"/>
  <c r="N11" i="16"/>
  <c r="N12" i="16"/>
  <c r="N13" i="16"/>
  <c r="N14" i="16"/>
  <c r="N15" i="16"/>
  <c r="N16" i="16"/>
  <c r="K22" i="16"/>
  <c r="L10" i="16"/>
  <c r="M10" i="16"/>
  <c r="D14" i="12"/>
  <c r="D29" i="12"/>
  <c r="D45" i="12"/>
  <c r="A24" i="7"/>
  <c r="A25" i="7"/>
  <c r="A26" i="7"/>
  <c r="B27" i="7"/>
  <c r="B27" i="6"/>
  <c r="A26" i="6"/>
  <c r="A27" i="6"/>
  <c r="A28" i="6"/>
  <c r="A29" i="6"/>
  <c r="A30" i="6"/>
  <c r="E12" i="4"/>
  <c r="E27" i="4"/>
  <c r="E43" i="4"/>
  <c r="E64" i="4"/>
  <c r="E80" i="4"/>
  <c r="E96" i="4"/>
  <c r="F172" i="2"/>
  <c r="H172" i="2"/>
  <c r="H174" i="2"/>
  <c r="J174" i="2"/>
  <c r="H17" i="2"/>
  <c r="J17" i="2"/>
  <c r="H40" i="2"/>
  <c r="J40" i="2"/>
  <c r="H45" i="2"/>
  <c r="J45" i="2"/>
  <c r="H63" i="2"/>
  <c r="J63" i="2"/>
  <c r="H67" i="2"/>
  <c r="J67" i="2"/>
  <c r="H93" i="2"/>
  <c r="J93" i="2"/>
  <c r="H94" i="2"/>
  <c r="J94" i="2"/>
  <c r="H104" i="2"/>
  <c r="J104" i="2"/>
  <c r="A103" i="2"/>
  <c r="A104" i="2"/>
  <c r="D50" i="2"/>
  <c r="A46" i="2"/>
  <c r="C47" i="2"/>
  <c r="M20" i="16"/>
  <c r="L20" i="16"/>
  <c r="G22" i="16"/>
  <c r="H17" i="16"/>
  <c r="H18" i="16"/>
  <c r="H19" i="16"/>
  <c r="H20" i="16"/>
  <c r="H21" i="16"/>
  <c r="A24" i="4"/>
  <c r="A25" i="4"/>
  <c r="A26" i="4"/>
  <c r="A27" i="4"/>
  <c r="A28" i="4"/>
  <c r="A29" i="4"/>
  <c r="A30" i="4"/>
  <c r="A31" i="4"/>
  <c r="A32" i="4"/>
  <c r="A33" i="4"/>
  <c r="A34" i="4"/>
  <c r="A35" i="4"/>
  <c r="A36" i="4"/>
  <c r="D36" i="4"/>
  <c r="E13" i="7"/>
  <c r="I13" i="7"/>
  <c r="I15" i="7"/>
  <c r="J180" i="2"/>
  <c r="E14" i="7"/>
  <c r="I14" i="7"/>
  <c r="J181" i="2"/>
  <c r="K17" i="16"/>
  <c r="J22" i="16"/>
  <c r="D15" i="16"/>
  <c r="D30" i="16"/>
  <c r="D46" i="16"/>
  <c r="H26" i="16"/>
  <c r="K26" i="16"/>
  <c r="G27" i="16"/>
  <c r="J27" i="16"/>
  <c r="L33" i="16"/>
  <c r="M33" i="16"/>
  <c r="L34" i="16"/>
  <c r="M34" i="16"/>
  <c r="L35" i="16"/>
  <c r="M35" i="16"/>
  <c r="L36" i="16"/>
  <c r="M36" i="16"/>
  <c r="L37" i="16"/>
  <c r="M37" i="16"/>
  <c r="L30" i="16"/>
  <c r="M30" i="16"/>
  <c r="L31" i="16"/>
  <c r="M31" i="16"/>
  <c r="L32" i="16"/>
  <c r="M32" i="16"/>
  <c r="L28" i="16"/>
  <c r="M28" i="16"/>
  <c r="L29" i="16"/>
  <c r="M29" i="16"/>
  <c r="D15" i="12"/>
  <c r="D30" i="12"/>
  <c r="D46" i="12"/>
  <c r="A27" i="7"/>
  <c r="A28" i="7"/>
  <c r="A31" i="7"/>
  <c r="A33" i="7"/>
  <c r="A34" i="7"/>
  <c r="A35" i="7"/>
  <c r="A36" i="7"/>
  <c r="A37" i="7"/>
  <c r="A38" i="7"/>
  <c r="C28" i="7"/>
  <c r="A31" i="6"/>
  <c r="A32" i="6"/>
  <c r="A33" i="6"/>
  <c r="A34" i="6"/>
  <c r="A35" i="6"/>
  <c r="A36" i="6"/>
  <c r="C36" i="6"/>
  <c r="E13" i="4"/>
  <c r="E28" i="4"/>
  <c r="E44" i="4"/>
  <c r="E65" i="4"/>
  <c r="E81" i="4"/>
  <c r="E97" i="4"/>
  <c r="G13" i="11"/>
  <c r="G16" i="11"/>
  <c r="H41" i="2"/>
  <c r="J41" i="2"/>
  <c r="J51" i="2"/>
  <c r="H46" i="2"/>
  <c r="J46" i="2"/>
  <c r="J47" i="2"/>
  <c r="H97" i="2"/>
  <c r="J97" i="2"/>
  <c r="H98" i="2"/>
  <c r="J98" i="2"/>
  <c r="H99" i="2"/>
  <c r="J99" i="2"/>
  <c r="H100" i="2"/>
  <c r="J100" i="2"/>
  <c r="H105" i="2"/>
  <c r="J105" i="2"/>
  <c r="H111" i="2"/>
  <c r="J111" i="2"/>
  <c r="H112" i="2"/>
  <c r="J112" i="2"/>
  <c r="J42" i="2"/>
  <c r="H42" i="2"/>
  <c r="J50" i="2"/>
  <c r="J107" i="2"/>
  <c r="A105" i="2"/>
  <c r="A106" i="2"/>
  <c r="D51" i="2"/>
  <c r="A47" i="2"/>
  <c r="A49" i="2"/>
  <c r="A50" i="2"/>
  <c r="A38" i="4"/>
  <c r="A39" i="4"/>
  <c r="D20" i="7"/>
  <c r="M17" i="16"/>
  <c r="M22" i="16"/>
  <c r="L17" i="16"/>
  <c r="H29" i="16"/>
  <c r="H30" i="16"/>
  <c r="H31" i="16"/>
  <c r="H32" i="16"/>
  <c r="H33" i="16"/>
  <c r="H34" i="16"/>
  <c r="H35" i="16"/>
  <c r="H36" i="16"/>
  <c r="H37" i="16"/>
  <c r="J182" i="2"/>
  <c r="D16" i="16"/>
  <c r="D31" i="16"/>
  <c r="D47" i="16"/>
  <c r="L26" i="16"/>
  <c r="M26" i="16"/>
  <c r="K38" i="16"/>
  <c r="D16" i="12"/>
  <c r="D31" i="12"/>
  <c r="D47" i="12"/>
  <c r="A37" i="6"/>
  <c r="A38" i="6"/>
  <c r="A39" i="6"/>
  <c r="A40" i="6"/>
  <c r="A41" i="6"/>
  <c r="B38" i="6"/>
  <c r="E14" i="4"/>
  <c r="E29" i="4"/>
  <c r="E45" i="4"/>
  <c r="E66" i="4"/>
  <c r="E82" i="4"/>
  <c r="E98" i="4"/>
  <c r="H115" i="2"/>
  <c r="H114" i="2"/>
  <c r="J114" i="2"/>
  <c r="H116" i="2"/>
  <c r="J116" i="2"/>
  <c r="H68" i="2"/>
  <c r="J68" i="2"/>
  <c r="J52" i="2"/>
  <c r="H187" i="2"/>
  <c r="H191" i="2"/>
  <c r="A51" i="2"/>
  <c r="A52" i="2"/>
  <c r="C52" i="2"/>
  <c r="A40" i="4"/>
  <c r="A41" i="4"/>
  <c r="A42" i="4"/>
  <c r="A43" i="4"/>
  <c r="A44" i="4"/>
  <c r="A45" i="4"/>
  <c r="A46" i="4"/>
  <c r="A47" i="4"/>
  <c r="A48" i="4"/>
  <c r="A49" i="4"/>
  <c r="A50" i="4"/>
  <c r="A51" i="4"/>
  <c r="A52" i="4"/>
  <c r="D52" i="4"/>
  <c r="N17" i="16"/>
  <c r="N18" i="16"/>
  <c r="N19" i="16"/>
  <c r="N20" i="16"/>
  <c r="N21" i="16"/>
  <c r="F24" i="15"/>
  <c r="F25" i="15"/>
  <c r="E9" i="15"/>
  <c r="L22" i="16"/>
  <c r="E121" i="2"/>
  <c r="J101" i="2"/>
  <c r="H27" i="16"/>
  <c r="H28" i="16"/>
  <c r="G38" i="16"/>
  <c r="K27" i="16"/>
  <c r="J38" i="16"/>
  <c r="A107" i="2"/>
  <c r="C107" i="2"/>
  <c r="D17" i="16"/>
  <c r="D32" i="16"/>
  <c r="D48" i="16"/>
  <c r="N26" i="16"/>
  <c r="D17" i="12"/>
  <c r="D32" i="12"/>
  <c r="D48" i="12"/>
  <c r="A42" i="6"/>
  <c r="A43" i="6"/>
  <c r="B43" i="6"/>
  <c r="E15" i="4"/>
  <c r="E30" i="4"/>
  <c r="E46" i="4"/>
  <c r="E67" i="4"/>
  <c r="E83" i="4"/>
  <c r="E99" i="4"/>
  <c r="H52" i="2"/>
  <c r="L8" i="9"/>
  <c r="J37" i="7"/>
  <c r="A54" i="2"/>
  <c r="A55" i="2"/>
  <c r="C71" i="2"/>
  <c r="D54" i="4"/>
  <c r="A54" i="4"/>
  <c r="A59" i="4"/>
  <c r="A60" i="4"/>
  <c r="J66" i="2"/>
  <c r="J69" i="2"/>
  <c r="L6" i="9"/>
  <c r="M27" i="16"/>
  <c r="M38" i="16"/>
  <c r="L27" i="16"/>
  <c r="L38" i="16"/>
  <c r="A109" i="2"/>
  <c r="A110" i="2"/>
  <c r="A111" i="2"/>
  <c r="J117" i="2"/>
  <c r="F48" i="9"/>
  <c r="G48" i="9"/>
  <c r="F49" i="9"/>
  <c r="G49" i="9"/>
  <c r="D18" i="16"/>
  <c r="D33" i="16"/>
  <c r="D49" i="16"/>
  <c r="D18" i="12"/>
  <c r="D33" i="12"/>
  <c r="D49" i="12"/>
  <c r="E16" i="4"/>
  <c r="E31" i="4"/>
  <c r="E47" i="4"/>
  <c r="E68" i="4"/>
  <c r="E84" i="4"/>
  <c r="E100" i="4"/>
  <c r="G27" i="7"/>
  <c r="I27" i="7"/>
  <c r="F14" i="11"/>
  <c r="F16" i="11"/>
  <c r="H16" i="11"/>
  <c r="E55" i="2"/>
  <c r="H131" i="2"/>
  <c r="J131" i="2"/>
  <c r="H130" i="2"/>
  <c r="J130" i="2"/>
  <c r="H129" i="2"/>
  <c r="J129" i="2"/>
  <c r="H56" i="2"/>
  <c r="J56" i="2"/>
  <c r="A56" i="2"/>
  <c r="A57" i="2"/>
  <c r="A58" i="2"/>
  <c r="C61" i="2"/>
  <c r="A61" i="4"/>
  <c r="A62" i="4"/>
  <c r="A63" i="4"/>
  <c r="A64" i="4"/>
  <c r="A65" i="4"/>
  <c r="A66" i="4"/>
  <c r="A67" i="4"/>
  <c r="A68" i="4"/>
  <c r="A69" i="4"/>
  <c r="A70" i="4"/>
  <c r="A71" i="4"/>
  <c r="A72" i="4"/>
  <c r="A73" i="4"/>
  <c r="D73" i="4"/>
  <c r="A112" i="2"/>
  <c r="A113" i="2"/>
  <c r="A114" i="2"/>
  <c r="A115" i="2"/>
  <c r="A116" i="2"/>
  <c r="A117" i="2"/>
  <c r="C117" i="2"/>
  <c r="N27" i="16"/>
  <c r="N28" i="16"/>
  <c r="N29" i="16"/>
  <c r="N30" i="16"/>
  <c r="N31" i="16"/>
  <c r="N32" i="16"/>
  <c r="N33" i="16"/>
  <c r="N34" i="16"/>
  <c r="N35" i="16"/>
  <c r="N36" i="16"/>
  <c r="N37" i="16"/>
  <c r="F30" i="15"/>
  <c r="F31" i="15"/>
  <c r="E10" i="15"/>
  <c r="E12" i="15"/>
  <c r="E16" i="15"/>
  <c r="H16" i="15"/>
  <c r="G52" i="9"/>
  <c r="D19" i="16"/>
  <c r="D34" i="16"/>
  <c r="D50" i="16"/>
  <c r="D19" i="12"/>
  <c r="D34" i="12"/>
  <c r="D50" i="12"/>
  <c r="E17" i="4"/>
  <c r="E32" i="4"/>
  <c r="E48" i="4"/>
  <c r="E69" i="4"/>
  <c r="E85" i="4"/>
  <c r="E101" i="4"/>
  <c r="J55" i="2"/>
  <c r="J61" i="2"/>
  <c r="J71" i="2"/>
  <c r="E61" i="2"/>
  <c r="E71" i="2"/>
  <c r="E135" i="2"/>
  <c r="E128" i="2"/>
  <c r="A75" i="4"/>
  <c r="A76" i="4"/>
  <c r="A119" i="2"/>
  <c r="A120" i="2"/>
  <c r="D20" i="16"/>
  <c r="D35" i="16"/>
  <c r="D51" i="16"/>
  <c r="D20" i="12"/>
  <c r="D35" i="12"/>
  <c r="D51" i="12"/>
  <c r="E18" i="4"/>
  <c r="E33" i="4"/>
  <c r="E49" i="4"/>
  <c r="E70" i="4"/>
  <c r="E86" i="4"/>
  <c r="E102" i="4"/>
  <c r="J7" i="7"/>
  <c r="J16" i="7"/>
  <c r="J135" i="2"/>
  <c r="J33" i="7"/>
  <c r="E132" i="2"/>
  <c r="E137" i="2"/>
  <c r="J128" i="2"/>
  <c r="J132" i="2"/>
  <c r="A77" i="4"/>
  <c r="A78" i="4"/>
  <c r="A79" i="4"/>
  <c r="A80" i="4"/>
  <c r="A81" i="4"/>
  <c r="A82" i="4"/>
  <c r="A83" i="4"/>
  <c r="A84" i="4"/>
  <c r="A85" i="4"/>
  <c r="A86" i="4"/>
  <c r="A87" i="4"/>
  <c r="A88" i="4"/>
  <c r="A89" i="4"/>
  <c r="D89" i="4"/>
  <c r="A121" i="2"/>
  <c r="A122" i="2"/>
  <c r="A123" i="2"/>
  <c r="A124" i="2"/>
  <c r="C124" i="2"/>
  <c r="D21" i="16"/>
  <c r="D37" i="16"/>
  <c r="D53" i="16"/>
  <c r="D36" i="16"/>
  <c r="D52" i="16"/>
  <c r="D21" i="12"/>
  <c r="D37" i="12"/>
  <c r="D53" i="12"/>
  <c r="D36" i="12"/>
  <c r="D52" i="12"/>
  <c r="E19" i="4"/>
  <c r="E35" i="4"/>
  <c r="E51" i="4"/>
  <c r="E72" i="4"/>
  <c r="E88" i="4"/>
  <c r="E104" i="4"/>
  <c r="E34" i="4"/>
  <c r="E50" i="4"/>
  <c r="E71" i="4"/>
  <c r="E87" i="4"/>
  <c r="E103" i="4"/>
  <c r="I26" i="7"/>
  <c r="J28" i="7"/>
  <c r="J31" i="7"/>
  <c r="D26" i="7"/>
  <c r="D28" i="7"/>
  <c r="J137" i="2"/>
  <c r="J34" i="7"/>
  <c r="J35" i="7"/>
  <c r="A91" i="4"/>
  <c r="A92" i="4"/>
  <c r="A125" i="2"/>
  <c r="A128" i="2"/>
  <c r="A129" i="2"/>
  <c r="A132" i="2"/>
  <c r="C129" i="2"/>
  <c r="L5" i="9"/>
  <c r="L7" i="9"/>
  <c r="L9" i="9"/>
  <c r="A93" i="4"/>
  <c r="A94" i="4"/>
  <c r="A95" i="4"/>
  <c r="A96" i="4"/>
  <c r="A97" i="4"/>
  <c r="A98" i="4"/>
  <c r="A99" i="4"/>
  <c r="A100" i="4"/>
  <c r="A101" i="4"/>
  <c r="A102" i="4"/>
  <c r="A103" i="4"/>
  <c r="A104" i="4"/>
  <c r="A105" i="4"/>
  <c r="D105" i="4"/>
  <c r="A134" i="2"/>
  <c r="A135" i="2"/>
  <c r="C137" i="2"/>
  <c r="B34" i="7"/>
  <c r="J36" i="7"/>
  <c r="J38" i="7"/>
  <c r="L10" i="9"/>
  <c r="E29" i="9"/>
  <c r="J29" i="9"/>
  <c r="E28" i="9"/>
  <c r="E27" i="9"/>
  <c r="E26" i="9"/>
  <c r="J26" i="9"/>
  <c r="E25" i="9"/>
  <c r="J25" i="9"/>
  <c r="E24" i="9"/>
  <c r="J24" i="9"/>
  <c r="E23" i="9"/>
  <c r="J23" i="9"/>
  <c r="E22" i="9"/>
  <c r="J22" i="9"/>
  <c r="E21" i="9"/>
  <c r="J21" i="9"/>
  <c r="D107" i="4"/>
  <c r="A107" i="4"/>
  <c r="A7" i="5"/>
  <c r="A137" i="2"/>
  <c r="B33" i="7"/>
  <c r="F23" i="9"/>
  <c r="K23" i="9"/>
  <c r="F26" i="9"/>
  <c r="K26" i="9"/>
  <c r="F21" i="9"/>
  <c r="K21" i="9"/>
  <c r="F24" i="9"/>
  <c r="K24" i="9"/>
  <c r="F29" i="9"/>
  <c r="K29" i="9"/>
  <c r="F22" i="9"/>
  <c r="K22" i="9"/>
  <c r="F25" i="9"/>
  <c r="K25" i="9"/>
  <c r="A139" i="2"/>
  <c r="A141" i="2"/>
  <c r="C141" i="2"/>
  <c r="N23" i="9"/>
  <c r="L23" i="9"/>
  <c r="N26" i="9"/>
  <c r="L26" i="9"/>
  <c r="N21" i="9"/>
  <c r="L21" i="9"/>
  <c r="N24" i="9"/>
  <c r="L24" i="9"/>
  <c r="N29" i="9"/>
  <c r="L29" i="9"/>
  <c r="N22" i="9"/>
  <c r="L22" i="9"/>
  <c r="N25" i="9"/>
  <c r="L25" i="9"/>
  <c r="J28" i="9"/>
  <c r="F28" i="9"/>
  <c r="K28" i="9"/>
  <c r="J27" i="9"/>
  <c r="J30" i="9"/>
  <c r="F27" i="9"/>
  <c r="K27" i="9"/>
  <c r="K30" i="9"/>
  <c r="A146" i="2"/>
  <c r="A147" i="2"/>
  <c r="A148" i="2"/>
  <c r="A161" i="2"/>
  <c r="A163" i="2"/>
  <c r="D13" i="2"/>
  <c r="N30" i="9"/>
  <c r="E139" i="2"/>
  <c r="L28" i="9"/>
  <c r="N28" i="9"/>
  <c r="L27" i="9"/>
  <c r="N27" i="9"/>
  <c r="L30" i="9"/>
  <c r="A164" i="2"/>
  <c r="A165" i="2"/>
  <c r="A166" i="2"/>
  <c r="C166" i="2"/>
  <c r="E141" i="2"/>
  <c r="J139" i="2"/>
  <c r="J141" i="2"/>
  <c r="J13" i="2"/>
  <c r="J20" i="2"/>
  <c r="A168" i="2"/>
  <c r="A170" i="2"/>
  <c r="A171" i="2"/>
  <c r="A172" i="2"/>
  <c r="C168" i="2"/>
  <c r="A173" i="2"/>
  <c r="A174" i="2"/>
  <c r="A177" i="2"/>
  <c r="A179" i="2"/>
  <c r="C174" i="2"/>
  <c r="C175" i="2"/>
  <c r="A180" i="2"/>
  <c r="A181" i="2"/>
  <c r="A182" i="2"/>
  <c r="C122" i="2"/>
  <c r="C182" i="2"/>
  <c r="C135" i="2"/>
  <c r="A187" i="2"/>
  <c r="A188" i="2"/>
  <c r="A189" i="2"/>
  <c r="A190" i="2"/>
  <c r="A191" i="2"/>
  <c r="G8" i="9"/>
  <c r="E37" i="7"/>
</calcChain>
</file>

<file path=xl/sharedStrings.xml><?xml version="1.0" encoding="utf-8"?>
<sst xmlns="http://schemas.openxmlformats.org/spreadsheetml/2006/main" count="2331" uniqueCount="1077">
  <si>
    <t>Formula Rate Index</t>
  </si>
  <si>
    <t xml:space="preserve">Appendix </t>
  </si>
  <si>
    <t>III</t>
  </si>
  <si>
    <t>Main Body of the Formula</t>
  </si>
  <si>
    <t xml:space="preserve">Attachment </t>
  </si>
  <si>
    <t>Revenue Credit Worksheet</t>
  </si>
  <si>
    <t>Cost Support</t>
  </si>
  <si>
    <t>2a</t>
  </si>
  <si>
    <t>2b</t>
  </si>
  <si>
    <t xml:space="preserve">Incentives </t>
  </si>
  <si>
    <t>3a</t>
  </si>
  <si>
    <t>Incentive (13 Monthly Balances)</t>
  </si>
  <si>
    <t>Transmission Enhancement Charge Worksheet</t>
  </si>
  <si>
    <t>4a</t>
  </si>
  <si>
    <t>SIT and p</t>
  </si>
  <si>
    <t>True-Up</t>
  </si>
  <si>
    <t>6a</t>
  </si>
  <si>
    <t>Accumulated Deferred Income Taxes (ADIT) Worksheet (Projection)</t>
  </si>
  <si>
    <t>6b</t>
  </si>
  <si>
    <t>Accumulated Deferred Income Taxes (ADIT) Worksheet (Projection Proration)</t>
  </si>
  <si>
    <t>6c</t>
  </si>
  <si>
    <t>Accumulated Deferred Income Taxes (ADIT) Worksheet (Beginning of Year Projection)</t>
  </si>
  <si>
    <t>6d</t>
  </si>
  <si>
    <t>Accumulated Deferred Income Taxes (ADIT) Worksheet (End of Year Projection)</t>
  </si>
  <si>
    <t>6e</t>
  </si>
  <si>
    <t>Accumulated Deferred Income Taxes (ADIT) Worksheet (True-up)</t>
  </si>
  <si>
    <t>6f</t>
  </si>
  <si>
    <t>Accumulated Deferred Income Taxes (ADIT) Worksheet (True-up Proration)</t>
  </si>
  <si>
    <t>7</t>
  </si>
  <si>
    <t>Depreciation Rates</t>
  </si>
  <si>
    <t>Future Use</t>
  </si>
  <si>
    <t>Reg Asset and Abandoned Plant Details</t>
  </si>
  <si>
    <t>Unfunded Reserves</t>
  </si>
  <si>
    <t>CWIP</t>
  </si>
  <si>
    <t>Income Tax Adjustment</t>
  </si>
  <si>
    <t>Workpapers</t>
  </si>
  <si>
    <t>WP1-WP5</t>
  </si>
  <si>
    <t>Calculated (1/8 * (line 38 less line 33b))</t>
  </si>
  <si>
    <t>Input</t>
  </si>
  <si>
    <t>Appendix III</t>
  </si>
  <si>
    <t>Page 1 of 5</t>
  </si>
  <si>
    <r>
      <t>Rate Formula Template</t>
    </r>
    <r>
      <rPr>
        <strike/>
        <sz val="12"/>
        <color indexed="10"/>
        <rFont val="Arial Narrow"/>
        <family val="2"/>
      </rPr>
      <t xml:space="preserve"> </t>
    </r>
  </si>
  <si>
    <t xml:space="preserve"> Utilizing FERC Form 1 Data</t>
  </si>
  <si>
    <t>Projected Annual Transmission Revenue Requirement</t>
  </si>
  <si>
    <t>change this</t>
  </si>
  <si>
    <t>GridLiance West LLC (GLW)</t>
  </si>
  <si>
    <t xml:space="preserve">Formula Rate - Non-Levelized </t>
  </si>
  <si>
    <t>(1)</t>
  </si>
  <si>
    <t>(2)</t>
  </si>
  <si>
    <t>(3)</t>
  </si>
  <si>
    <t>Line</t>
  </si>
  <si>
    <t>Allocated</t>
  </si>
  <si>
    <t>No.</t>
  </si>
  <si>
    <t>Amount</t>
  </si>
  <si>
    <t xml:space="preserve">GROSS REVENUE REQUIREMENT    </t>
  </si>
  <si>
    <t xml:space="preserve"> </t>
  </si>
  <si>
    <t xml:space="preserve">REVENUE CREDITS </t>
  </si>
  <si>
    <t>Total</t>
  </si>
  <si>
    <t>Allocator</t>
  </si>
  <si>
    <t>True-up Adjustment</t>
  </si>
  <si>
    <t>Attach 5, Line 3, column G</t>
  </si>
  <si>
    <t>DA</t>
  </si>
  <si>
    <t>NET REVENUE REQUIREMENT</t>
  </si>
  <si>
    <t>Page 2 of 5</t>
  </si>
  <si>
    <t>(4)</t>
  </si>
  <si>
    <t>(5)</t>
  </si>
  <si>
    <t>Transmission</t>
  </si>
  <si>
    <t>Source</t>
  </si>
  <si>
    <t>Company Total</t>
  </si>
  <si>
    <t xml:space="preserve">                  Allocator</t>
  </si>
  <si>
    <t>(Col 3 times Col 4)</t>
  </si>
  <si>
    <t>RATE BASE:</t>
  </si>
  <si>
    <t>GROSS PLANT IN SERVICE  (Notes M &amp; P)</t>
  </si>
  <si>
    <t xml:space="preserve">  Transmission </t>
  </si>
  <si>
    <t>(Attach 2, line 15)</t>
  </si>
  <si>
    <t>TP</t>
  </si>
  <si>
    <t xml:space="preserve">  General &amp; Intangible</t>
  </si>
  <si>
    <t>(Attach 2, lines 30 &amp; 45)</t>
  </si>
  <si>
    <t>W/S</t>
  </si>
  <si>
    <t>GP=</t>
  </si>
  <si>
    <t>ACCUMULATED DEPRECIATION &amp; AMORTIZATION  (Notes M &amp; P)</t>
  </si>
  <si>
    <t>(Attach 2, line 61)</t>
  </si>
  <si>
    <t>(Attach 2, lines 76 &amp; 91)</t>
  </si>
  <si>
    <t>NET PLANT IN SERVICE</t>
  </si>
  <si>
    <t xml:space="preserve">  Transmission</t>
  </si>
  <si>
    <t xml:space="preserve">  General &amp; Intangible </t>
  </si>
  <si>
    <t>(If line 13&gt;0, NP= line 15, column 5 / line 15, column 3.  If line 15=0, NP=0)</t>
  </si>
  <si>
    <t>NP=</t>
  </si>
  <si>
    <t xml:space="preserve">  ADIT (Note R)</t>
  </si>
  <si>
    <t>(Attach 6a or 6e, line 8)</t>
  </si>
  <si>
    <t xml:space="preserve">  Account No. 255 (Note F)</t>
  </si>
  <si>
    <t>(Attach 2a, line 93)</t>
  </si>
  <si>
    <t>NP</t>
  </si>
  <si>
    <t xml:space="preserve">  CWIP</t>
  </si>
  <si>
    <t>(Attach 11, column (u), line 26)</t>
  </si>
  <si>
    <t xml:space="preserve">  Unfunded Reserves</t>
  </si>
  <si>
    <t>(Attach 10, column (s), line 2)</t>
  </si>
  <si>
    <t xml:space="preserve">  Unamortized Regulatory Assets</t>
  </si>
  <si>
    <t>(Attach 9, column (v), line 51)</t>
  </si>
  <si>
    <t xml:space="preserve">  Unamortized Abandoned Plant</t>
  </si>
  <si>
    <t>(Attach 9, column (v), line 62)</t>
  </si>
  <si>
    <t>LAND HELD FOR FUTURE USE</t>
  </si>
  <si>
    <t>(Attach 8, column (d), line 2)</t>
  </si>
  <si>
    <t xml:space="preserve">  CWC    </t>
  </si>
  <si>
    <t>NA</t>
  </si>
  <si>
    <t>(Attach 2a, line 146)</t>
  </si>
  <si>
    <t>(Attach 2a, line 110)</t>
  </si>
  <si>
    <t>GP</t>
  </si>
  <si>
    <t>Page 3 of 5</t>
  </si>
  <si>
    <t>O&amp;M</t>
  </si>
  <si>
    <t>321.112.b  &amp; (Note O)</t>
  </si>
  <si>
    <t xml:space="preserve">     Less Accounts 565 and 566</t>
  </si>
  <si>
    <t>321.96.b &amp; 97.b</t>
  </si>
  <si>
    <t>33a</t>
  </si>
  <si>
    <t xml:space="preserve">     Account 566 excluding Amortization of Regulatory Assets</t>
  </si>
  <si>
    <t>321.97.b less line 33b</t>
  </si>
  <si>
    <t>33b</t>
  </si>
  <si>
    <t xml:space="preserve">     Account 566 Amortization of Regulatory Assets</t>
  </si>
  <si>
    <t>(Attach 9, line 51, col. f)</t>
  </si>
  <si>
    <t xml:space="preserve">  A&amp;G</t>
  </si>
  <si>
    <t>323.197.b</t>
  </si>
  <si>
    <t xml:space="preserve">     Less EPRI &amp; Reg. Comm. Exp. &amp; Other  Ad.  </t>
  </si>
  <si>
    <t>(Sum Attach 2a, lines 128, 129, 131) (Note D)</t>
  </si>
  <si>
    <t xml:space="preserve">     Plus Transmission Related Reg. Comm.  Exp.  </t>
  </si>
  <si>
    <t>(Attach 2a, line 129) (Note D)</t>
  </si>
  <si>
    <t xml:space="preserve">     PBOP expense adjustment</t>
  </si>
  <si>
    <t>(Attach 2a, line 155)</t>
  </si>
  <si>
    <t>DEPRECIATION EXPENSE  (Notes M &amp; P)</t>
  </si>
  <si>
    <t>Sum 336.7.b, d &amp; e</t>
  </si>
  <si>
    <t xml:space="preserve">  General and Intangible</t>
  </si>
  <si>
    <t>Sum 336.1.b, d &amp; e + Sum 336.10.b, d &amp; e</t>
  </si>
  <si>
    <t xml:space="preserve">  Amortization of Abandoned Plant</t>
  </si>
  <si>
    <t>(Attach 9, column (f), line 62)</t>
  </si>
  <si>
    <t xml:space="preserve">  LABOR RELATED</t>
  </si>
  <si>
    <t xml:space="preserve">          Payroll</t>
  </si>
  <si>
    <t>263._.i (enter FN1 line #)</t>
  </si>
  <si>
    <t xml:space="preserve">          Highway and vehicle</t>
  </si>
  <si>
    <t xml:space="preserve">  PLANT RELATED</t>
  </si>
  <si>
    <t xml:space="preserve">         Property</t>
  </si>
  <si>
    <t xml:space="preserve">         Gross Receipts</t>
  </si>
  <si>
    <t xml:space="preserve">         Other</t>
  </si>
  <si>
    <t xml:space="preserve">INCOME TAXES          </t>
  </si>
  <si>
    <t xml:space="preserve">     T=1 - {[(1 - SIT) * (1 - FIT)] / (1 - SIT * FIT * p)} =</t>
  </si>
  <si>
    <t xml:space="preserve">     CIT=(T/1-T) * (1-(WCLTD/R)) =</t>
  </si>
  <si>
    <t xml:space="preserve">Amortized Investment Tax Credit </t>
  </si>
  <si>
    <t>(Attach 2a, line 93a)</t>
  </si>
  <si>
    <t>59a</t>
  </si>
  <si>
    <t>(Excess)/Deficient Deferred Income Taxes (Note S)</t>
  </si>
  <si>
    <t>(Attach 12, Lines 2 &amp; 3, column (b))</t>
  </si>
  <si>
    <t>59b</t>
  </si>
  <si>
    <t>Tax Effect of Permanent Differences, including AFUDC Equity (Note T)</t>
  </si>
  <si>
    <t>(Attach 12, Line 1, column (b))</t>
  </si>
  <si>
    <t>61a</t>
  </si>
  <si>
    <t>(Excess)/Deficient Deferred Income Tax Adjustment</t>
  </si>
  <si>
    <t>(Line 58 times Line 59a)</t>
  </si>
  <si>
    <t>61b</t>
  </si>
  <si>
    <t>Permanent Differences Tax Adjustment</t>
  </si>
  <si>
    <t>(Line 54/(1 - Line 54) times Line 59b)</t>
  </si>
  <si>
    <t>Total Income Taxes</t>
  </si>
  <si>
    <t>Sum (lines 60, 61, 61a &amp; 61b)</t>
  </si>
  <si>
    <t xml:space="preserve">RETURN </t>
  </si>
  <si>
    <t>Return and Income Tax on Incentive Projects</t>
  </si>
  <si>
    <t>(Attach 4, column (J), line 8)</t>
  </si>
  <si>
    <t>Reserved</t>
  </si>
  <si>
    <t>Page 4 of 5</t>
  </si>
  <si>
    <t>Rate Formula Template</t>
  </si>
  <si>
    <t>SUPPORTING CALCULATIONS AND NOTES</t>
  </si>
  <si>
    <t>TRANSMISSION PLANT INCLUDED IN RTO RATES</t>
  </si>
  <si>
    <t>TP=</t>
  </si>
  <si>
    <t>WAGES &amp; SALARY ALLOCATOR   (W&amp;S)</t>
  </si>
  <si>
    <t>Form 1 Reference</t>
  </si>
  <si>
    <t>$</t>
  </si>
  <si>
    <t>Allocation</t>
  </si>
  <si>
    <t>354.21.b</t>
  </si>
  <si>
    <t xml:space="preserve">  Other</t>
  </si>
  <si>
    <t>354.24,25,26.b</t>
  </si>
  <si>
    <t>N/A</t>
  </si>
  <si>
    <t>($ / Allocation)</t>
  </si>
  <si>
    <t>=</t>
  </si>
  <si>
    <t>%</t>
  </si>
  <si>
    <t>Cost</t>
  </si>
  <si>
    <t>Weighted</t>
  </si>
  <si>
    <t xml:space="preserve">  Long Term Debt (Attach 2b, lines 161 &amp; 183)</t>
  </si>
  <si>
    <t>=WCLTD</t>
  </si>
  <si>
    <t xml:space="preserve">  Preferred Stock  (Attach 2b, lines 163 &amp; 185)</t>
  </si>
  <si>
    <t xml:space="preserve">  Common Stock   (Attach 2b, line 170)  </t>
  </si>
  <si>
    <t>=R</t>
  </si>
  <si>
    <t>Sum Of Net Transmission Plant, CWIP in Rate Base, Regulatory Asset and Unamortized Abandoned Plant</t>
  </si>
  <si>
    <t>(a)</t>
  </si>
  <si>
    <t>Net Transmission Plant in Service</t>
  </si>
  <si>
    <t>(Line 13, column 5)</t>
  </si>
  <si>
    <t>(Line 19, column 5)</t>
  </si>
  <si>
    <t>Unamortized Abandoned Plant</t>
  </si>
  <si>
    <t>(Line 22, column 5)</t>
  </si>
  <si>
    <t>Regulatory Assets</t>
  </si>
  <si>
    <t>(Line 21, column 5)</t>
  </si>
  <si>
    <t>DA indicates Direct Assignment and is equal to 1</t>
  </si>
  <si>
    <t>Page 5 of 5</t>
  </si>
  <si>
    <t xml:space="preserve">                SUPPORTING CALCULATIONS AND NOTES</t>
  </si>
  <si>
    <t>General Note:  References to pages in this formulary rate are indicated as:  (page#, line#, col.#)</t>
  </si>
  <si>
    <t xml:space="preserve">                           References to data from FERC Form 1 are indicated as:   #.#.x  (page, line, column)</t>
  </si>
  <si>
    <t>Note</t>
  </si>
  <si>
    <t>Letter</t>
  </si>
  <si>
    <t>A</t>
  </si>
  <si>
    <t>The balances in Accounts 190, 281, 282 and 283, as adjusted by any amounts in contra accounts identified as regulatory assets or liabilities related to FASB 106 or 109. Balance of Account 255 is reduced by prior flow throughs and excluded if the utility chose to utilize amortization of tax credits against taxable income. Account 281 is not allocated. The calculations of ADIT in the annual true-up calculation will use the 13 month average balances for non-plant related items and the prorated end-of-year balances for plant related items. The calculation of ADIT in the annual projection and Annual True-Up calculations will be performed in accordance with IRS regulation Section 1.167(l)-1(h)(6). Work papers supporting the ADIT calculations will be posted with each Annual True-Up and/or projected net revenue requirement and included in the annual Informational Filing submitted to the Commission.  Beginning with the 2019 rate year, the Annual True-Up for a given year will use the same methodology that was used to project that year’s rates. The proration of the Annual True-Up shall apply beginning with the 2019 Annual True-Up.</t>
  </si>
  <si>
    <t>B</t>
  </si>
  <si>
    <t>Identified in Form 1 as being only transmission related.</t>
  </si>
  <si>
    <t>C</t>
  </si>
  <si>
    <t>Prepayments are the electric related prepayments booked to Account No. 165 and reported on Page 111, line 57 in the FERC Form 1, excluding any prepaid income taxes and prepaid pension assets.</t>
  </si>
  <si>
    <t>D</t>
  </si>
  <si>
    <t>Line 35 excludes all Regulatory Commission Expenses itemized at 351.h, all advertising  included in Account 930.1 (except safety, education or out-reach related advertising) and all EEI and EPRI dues and expenses</t>
  </si>
  <si>
    <t>Line 36 reflects all Regulatory Commission Expenses directly related to transmission service, RTO filings, or transmission siting itemized at 351.h</t>
  </si>
  <si>
    <t>E</t>
  </si>
  <si>
    <t xml:space="preserve">Includes only FICA, unemployment, highway, property, gross receipts, and other assessments charged in the current year.  Taxes related to income are excluded.   Excludes other taxes associated with facilities leased to others that are charged to the lessee. </t>
  </si>
  <si>
    <t>F</t>
  </si>
  <si>
    <t xml:space="preserve">The currently effective income tax rate, where FIT is the weighted average Federal income tax rate; SIT is the weighted average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 (page 3, line 26).  </t>
  </si>
  <si>
    <t xml:space="preserve">         Inputs Required:</t>
  </si>
  <si>
    <t>FIT =</t>
  </si>
  <si>
    <t>SIT=</t>
  </si>
  <si>
    <t>p =</t>
  </si>
  <si>
    <t>For each Rate Year (including both Annual Projections and True-Up Adjustments) the statutory income tax rates utilized in the Formula Rate shall reflect the weighted average rates actually in effect during the Rate Year.  For example, if the statutory tax rate is 10% from January 1 through June 30, and 5% from July 1 through December 31, such rates would be weighted 181/365 and 184/365, respectively, for a non-leap year.</t>
  </si>
  <si>
    <t>G</t>
  </si>
  <si>
    <t>H</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</si>
  <si>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</si>
  <si>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I</t>
  </si>
  <si>
    <t>J</t>
  </si>
  <si>
    <t>ROE will be supported in the original filing and no change in ROE may be made absent a filing with FERC under FPA Section 205 or 206.</t>
  </si>
  <si>
    <t>K</t>
  </si>
  <si>
    <t>L</t>
  </si>
  <si>
    <t xml:space="preserve">The regulatory assets will accrue carrying costs equal to the weighted cost of capital on line 82 until the formula rate is effective and the resulting charges are assessed to customers. </t>
  </si>
  <si>
    <t>M</t>
  </si>
  <si>
    <t>Any plant leased to others will be removed from Plant In Service and booked to Leased Plant, Account 104.  Expenses charged to the lessee will be booked to Account No. 413 and the accumulated depreciation</t>
  </si>
  <si>
    <t>associated with the leased plant shall not be included above on lines 9-11.</t>
  </si>
  <si>
    <t>N</t>
  </si>
  <si>
    <t>O</t>
  </si>
  <si>
    <t>Excludes TRBAA expenses.</t>
  </si>
  <si>
    <t>P</t>
  </si>
  <si>
    <t>Excludes costs associated with Asset Retirement Obligations (ARO) absent a subsequent filing under FPA Section 205.</t>
  </si>
  <si>
    <t>Q</t>
  </si>
  <si>
    <t>R</t>
  </si>
  <si>
    <t xml:space="preserve">For rate projections, ADIT is computed for plant-related items using the prorated beginning and end of the year balances as required by Section 1.167(l)-1(h)(6)(ii) of the IRS regulations. Non-plant related items are computed using an average of the beginning and end of year balances.  An annual true-up is calculated using similar method for plant and non-plant items. For the rate projection, Attachment 6a calculates the projected ADIT balances based on the prorated ending ADIT balances as calculated on Attachment 6b. For the true-up, Attachment 6f calculated the projected ADIT balances based on the prorated ending ADIT balances as calculated on Attachment 6e.  </t>
  </si>
  <si>
    <t>S</t>
  </si>
  <si>
    <t>Includes the amortization of any excess/deficient deferred income taxes resulting from changes to income tax laws, income tax rates (including changes in apportionment) and other actions taken by a taxing authority. Excess and deficient deferred income taxes will reduce or increase tax expense by the amount of the excess or deficiency multiplied by (1/1-T) (page 3, line 61a).</t>
  </si>
  <si>
    <t>T</t>
  </si>
  <si>
    <t>Includes the annual income tax cost or benefits due to permanent differences or differences between the amounts of expenses or revenues recognized in one period for ratemaking purposes and the amounts recognized for income tax purposes which do not reverse in one or more other periods, including the cost of income taxes on (1) the Equity portion of Allowance for Other Funds Used During Construction  (AFUDC) included in the current book depreciation expense and (2) meals and entertainment expenses. Permanent differences arising from lobbying and/or political contributions, or fines and penalties from government agencies will not be recovered through this mechanism. The recovery of any other permanent differences (which are expected to be extraordinary in nature) would be specifically identified in Attachment 12. The amounts on line 1 of attachment 12 represent the tax-effected permanent tax differences (permanent differences times T).  The tax-effected amount of permanent differences and depreciation expense associated with Allowance for Other Funds Used During Construction is included in page 3, line 59b and will increase or decrease tax expense by the amount of the expense or benefit included on line 59b multiplied by (1/1-T) (page 3, line 61b).</t>
  </si>
  <si>
    <t xml:space="preserve">Attachment 1 - Revenue Credit Workpaper </t>
  </si>
  <si>
    <t>Account 454 - Rent from Electric Property  (Note 3)</t>
  </si>
  <si>
    <t>Notes 1 &amp; 3</t>
  </si>
  <si>
    <t>Rent from FERC Form No. 1</t>
  </si>
  <si>
    <t>Note 3, line 11</t>
  </si>
  <si>
    <t>Account 456 and 456.1  (Note 3)</t>
  </si>
  <si>
    <t>Other Electric Revenues (Note 2)</t>
  </si>
  <si>
    <t>Note 3</t>
  </si>
  <si>
    <t xml:space="preserve">Professional Services </t>
  </si>
  <si>
    <t>Revenues from Directly Assigned Transmission Facility Charges (Note 2)</t>
  </si>
  <si>
    <t xml:space="preserve">Rent or Attachment Fees associated with Transmission Facilities </t>
  </si>
  <si>
    <t>Other</t>
  </si>
  <si>
    <t>Total Revenue Credits</t>
  </si>
  <si>
    <t>Note 1</t>
  </si>
  <si>
    <t xml:space="preserve">All revenues booked to Account 454 that are derived from cost items classified as transmission-related will be included as a revenue credit.  All revenues booked to Account 456 that are derived from cost items classified as transmission-related, and are not derived from rates under this transmission formula rate will be included as a revenue credit.   Work papers will be included to properly classify revenues booked to these accounts to the transmission function.  A breakdown of all Account 454 revenues by subaccount will be provided below, and will be used to derive the proper calculation of revenue credits.  A breakdown of all Account 456 revenues by subaccount and customer will be provided and tabulated below, and will be used to develop the proper calculation of revenue credits.  All revenue credits that are included in the TRBAA are excluded here. </t>
  </si>
  <si>
    <t>Note 2</t>
  </si>
  <si>
    <t>If the facilities associated with the revenues are not included in the formula, the revenue is shown below, but not included in the total above and explained in the Attachment 3. This includes plant leased to others and the associated expenses outlined in Note M of Appendix III.</t>
  </si>
  <si>
    <t>All Account 454, 456, and 456.1 Revenues must be itemized below and tie to the FERC Form No. 1 cites set forth below</t>
  </si>
  <si>
    <t>Line No.</t>
  </si>
  <si>
    <t>Account 456 and 456.1 (300.21.b plus 300.22.b)</t>
  </si>
  <si>
    <t>TOTAL</t>
  </si>
  <si>
    <t>CALISO</t>
  </si>
  <si>
    <t>Other 1</t>
  </si>
  <si>
    <t>Other 2</t>
  </si>
  <si>
    <t>1a</t>
  </si>
  <si>
    <t>Transmission Service</t>
  </si>
  <si>
    <t>…</t>
  </si>
  <si>
    <t>xxxx</t>
  </si>
  <si>
    <t>1x</t>
  </si>
  <si>
    <t>Trans. Fac. Charge</t>
  </si>
  <si>
    <t>Trans Studies, etc</t>
  </si>
  <si>
    <t>Total  (must tie to 300.21.b plus 300.22.b)</t>
  </si>
  <si>
    <t>Less:</t>
  </si>
  <si>
    <t xml:space="preserve">     Revenue for Demands in Divisor </t>
  </si>
  <si>
    <t xml:space="preserve">     Revenue Credits included in the TRBAA</t>
  </si>
  <si>
    <t>Sub Total Revenue Credit</t>
  </si>
  <si>
    <t>Prior Period Adjustments (Note 4)</t>
  </si>
  <si>
    <t xml:space="preserve">Total  </t>
  </si>
  <si>
    <t>Account 454</t>
  </si>
  <si>
    <t>10a</t>
  </si>
  <si>
    <t>Joint pole attachments - telephone</t>
  </si>
  <si>
    <t>10b</t>
  </si>
  <si>
    <t>Joint pole attachments - cable</t>
  </si>
  <si>
    <t>10c</t>
  </si>
  <si>
    <t>Underground rentals</t>
  </si>
  <si>
    <t>10d</t>
  </si>
  <si>
    <t>Transmission tower wireless rentals</t>
  </si>
  <si>
    <t>10e</t>
  </si>
  <si>
    <t>Other rentals</t>
  </si>
  <si>
    <t>10f</t>
  </si>
  <si>
    <t>Corporate headquarters sublease</t>
  </si>
  <si>
    <t>10g</t>
  </si>
  <si>
    <t>Misc non-transmission rentals</t>
  </si>
  <si>
    <t>10x</t>
  </si>
  <si>
    <t>Total  (must tie to 300.19.b)</t>
  </si>
  <si>
    <t>Note 4</t>
  </si>
  <si>
    <t>Prior Period Adjustments will correct errors discovered after an annual true-up to be refunded or charged to customers.  The annual update will describe the basis for any Prior Period Adjustments.</t>
  </si>
  <si>
    <t>Attachment 2 - Cost Support</t>
  </si>
  <si>
    <t>Plant in Service Worksheet - Note P from Appendix III</t>
  </si>
  <si>
    <t>Appendix III Line #s, Descriptions, Notes, Form 1 Page #s and Instructions</t>
  </si>
  <si>
    <t>Calculation of Transmission  Plant In Service</t>
  </si>
  <si>
    <t>Year</t>
  </si>
  <si>
    <t>Balance</t>
  </si>
  <si>
    <t>December</t>
  </si>
  <si>
    <t>p206.58.b less p206.57.b</t>
  </si>
  <si>
    <t>January</t>
  </si>
  <si>
    <t>Note A</t>
  </si>
  <si>
    <t>February</t>
  </si>
  <si>
    <t>March</t>
  </si>
  <si>
    <t>April</t>
  </si>
  <si>
    <t>May</t>
  </si>
  <si>
    <t xml:space="preserve">June </t>
  </si>
  <si>
    <t>July</t>
  </si>
  <si>
    <t>August</t>
  </si>
  <si>
    <t>September</t>
  </si>
  <si>
    <t xml:space="preserve">October </t>
  </si>
  <si>
    <t>November</t>
  </si>
  <si>
    <t>p207.58.g less p207.57.g</t>
  </si>
  <si>
    <t>Transmission Plant In Service</t>
  </si>
  <si>
    <t>Calculation of Intangible Plant In Service</t>
  </si>
  <si>
    <t>p204.5.b</t>
  </si>
  <si>
    <t>October</t>
  </si>
  <si>
    <t>p205.5.g</t>
  </si>
  <si>
    <t>Intangible Plant In Service</t>
  </si>
  <si>
    <t>Calculation of General Plant In Service</t>
  </si>
  <si>
    <t>p206.99.b lessp206.98.b</t>
  </si>
  <si>
    <t>p207.99.g lessp207.98.g</t>
  </si>
  <si>
    <t>General Plant In Service</t>
  </si>
  <si>
    <t>Total Plant In Service</t>
  </si>
  <si>
    <t>Accumulated Depreciation Worksheet</t>
  </si>
  <si>
    <t>Appendix III  Line #s, Descriptions, Notes, Form 1 Page #s and Instructions</t>
  </si>
  <si>
    <t>Calculation of Transmission Accumulated Depreciation</t>
  </si>
  <si>
    <t>Prior year p219.25.c</t>
  </si>
  <si>
    <t>p219.25.c</t>
  </si>
  <si>
    <t>Transmission Accumulated Depreciation</t>
  </si>
  <si>
    <t>Calculation of Intangible Accumulated Depreciation</t>
  </si>
  <si>
    <t>Prior year p200.21.c</t>
  </si>
  <si>
    <t>p200.21.c</t>
  </si>
  <si>
    <t>Accumulated Intangible Depreciation</t>
  </si>
  <si>
    <t>Calculation of General Accumulated Depreciation</t>
  </si>
  <si>
    <t>Prior year p219.28.c</t>
  </si>
  <si>
    <t>p219.28.c</t>
  </si>
  <si>
    <t>Accumulated General Depreciation</t>
  </si>
  <si>
    <t>Total Accumulated Depreciation</t>
  </si>
  <si>
    <t xml:space="preserve">Note A:  Input the value associated with the amount as if reported in FERC Form No. 1 consistent with the first source in the section.  </t>
  </si>
  <si>
    <t xml:space="preserve">             The source for the values is internal company records.</t>
  </si>
  <si>
    <t>Attachment 2a - Cost Support</t>
  </si>
  <si>
    <t>Details</t>
  </si>
  <si>
    <t>Beginning of Year</t>
  </si>
  <si>
    <t>End of Year</t>
  </si>
  <si>
    <t>Average Balance</t>
  </si>
  <si>
    <t>Amortization</t>
  </si>
  <si>
    <t xml:space="preserve">  Account No. 255 (enter negative)  </t>
  </si>
  <si>
    <t>266.8.b &amp; 267.8.h</t>
  </si>
  <si>
    <t>Line 93 used if accumulated deferred tax credits are used to reduce rate base.</t>
  </si>
  <si>
    <t>93a</t>
  </si>
  <si>
    <t xml:space="preserve">  Account No. 255</t>
  </si>
  <si>
    <t>266.8.f</t>
  </si>
  <si>
    <t>Line 93a used if accumulated deferred tax credits are amortized against taxable income.</t>
  </si>
  <si>
    <t xml:space="preserve">  Prepayments (Account 165)</t>
  </si>
  <si>
    <t>(Prepayments excludes Prepaid Pension Assets and prepaid income taxes)</t>
  </si>
  <si>
    <t>111.57.d</t>
  </si>
  <si>
    <t>company records</t>
  </si>
  <si>
    <t>111.57.c</t>
  </si>
  <si>
    <t>Prepayments</t>
  </si>
  <si>
    <t>EPRI Dues Cost Support</t>
  </si>
  <si>
    <t>Allocated General &amp; Common Expenses</t>
  </si>
  <si>
    <t>EPRI Dues</t>
  </si>
  <si>
    <t>EPRI &amp; EEI Costs</t>
  </si>
  <si>
    <t>EPRI and EEI dues and expenses to be excluded from the formula rate</t>
  </si>
  <si>
    <t>p353._.f (enter FN1 line #)</t>
  </si>
  <si>
    <t>128a</t>
  </si>
  <si>
    <t>List EPRI and EEI dues and expenses</t>
  </si>
  <si>
    <t>Regulatory Expense Related to Transmission Cost Support</t>
  </si>
  <si>
    <t>Form 1 Amount</t>
  </si>
  <si>
    <t>Transmission Related</t>
  </si>
  <si>
    <t>Non-transmission Related</t>
  </si>
  <si>
    <t>Details*</t>
  </si>
  <si>
    <t>Directly Assigned A&amp;G</t>
  </si>
  <si>
    <t>(Col A- Col B)</t>
  </si>
  <si>
    <t>Regulatory Commission Exp Account 928</t>
  </si>
  <si>
    <t>p323.189.b</t>
  </si>
  <si>
    <t xml:space="preserve">Column B shall be all Regulatory Commission Expenses directly related to transmission service, </t>
  </si>
  <si>
    <t>RTO filings, or transmission siting itemized at 351.h consistent with Footnote D on Appendix III</t>
  </si>
  <si>
    <t>* insert case specific detail and associated assignments here</t>
  </si>
  <si>
    <t>Safety Related and Education and Out Reach Cost Support</t>
  </si>
  <si>
    <t>Safety Related, Education, Siting &amp; Outreach Related</t>
  </si>
  <si>
    <t>General Advertising Exp Account 930.1</t>
  </si>
  <si>
    <t>p323.191.b</t>
  </si>
  <si>
    <t xml:space="preserve">Column B shall be safety, education, siting or out-reach related advertising consistent with </t>
  </si>
  <si>
    <t>Note D on Appendix III</t>
  </si>
  <si>
    <t>Excluded Plant Cost Support</t>
  </si>
  <si>
    <t>Description of the Facilities</t>
  </si>
  <si>
    <t>Adjustment to Remove Revenue Requirements Associated with Excluded Transmission Facilities</t>
  </si>
  <si>
    <t>Transmission Facilities Excluded from CAISO Rates</t>
  </si>
  <si>
    <t>General Description of the Facilities</t>
  </si>
  <si>
    <t>132a</t>
  </si>
  <si>
    <t>Transmission Facilities Included in OATT Ancillary Services</t>
  </si>
  <si>
    <t>Add more lines if necessary</t>
  </si>
  <si>
    <t>Materials &amp; Supplies</t>
  </si>
  <si>
    <t>Note:  for the projection, the prior year's actual balances will be used</t>
  </si>
  <si>
    <t>Stores Expense Undistributed</t>
  </si>
  <si>
    <t>Transmission Materials &amp; Supplies</t>
  </si>
  <si>
    <t xml:space="preserve"> Form No.1 page</t>
  </si>
  <si>
    <t>p227.16</t>
  </si>
  <si>
    <t>p227.8</t>
  </si>
  <si>
    <t>(Col A + Col B)</t>
  </si>
  <si>
    <t>Column b</t>
  </si>
  <si>
    <t>Column c</t>
  </si>
  <si>
    <t>Average</t>
  </si>
  <si>
    <t>PBOPs</t>
  </si>
  <si>
    <t xml:space="preserve">Total PBOP expenses </t>
  </si>
  <si>
    <t>Labor dollars</t>
  </si>
  <si>
    <t>Cost per labor dollar</t>
  </si>
  <si>
    <t>Line 148 divided by line 149</t>
  </si>
  <si>
    <t>labor (labor not capitalized) current year</t>
  </si>
  <si>
    <t>(Note B)</t>
  </si>
  <si>
    <t>PBOP Expense for current year</t>
  </si>
  <si>
    <t>Line 150 times line 151</t>
  </si>
  <si>
    <t xml:space="preserve">Lines 148 and 149 cannot change absent approval or acceptance by FERC in a separate proceeding. </t>
  </si>
  <si>
    <t>PBOP amount included in Company's O&amp;M and A&amp;G expenses in Form No. 1</t>
  </si>
  <si>
    <t>PBOP expense adjustment</t>
  </si>
  <si>
    <t>Line 154 - Line 152</t>
  </si>
  <si>
    <t>Amounts will be zero until changed pursuant to a FERC order.</t>
  </si>
  <si>
    <t>The sum of all affiate labor included in accounts 560 to 579 and 920 to 935</t>
  </si>
  <si>
    <t>Attachment 2b - Cost Support</t>
  </si>
  <si>
    <t>Capital Structure</t>
  </si>
  <si>
    <t>Form No.1</t>
  </si>
  <si>
    <t>Description</t>
  </si>
  <si>
    <t>Reference</t>
  </si>
  <si>
    <t>June</t>
  </si>
  <si>
    <t>13 Month Avg.</t>
  </si>
  <si>
    <t>Col. (a)</t>
  </si>
  <si>
    <t>Col. (b)</t>
  </si>
  <si>
    <t>Col. (c)</t>
  </si>
  <si>
    <t>Col. (d)</t>
  </si>
  <si>
    <t>Col. (e)</t>
  </si>
  <si>
    <t>Col. (f)</t>
  </si>
  <si>
    <t>Col. (g)</t>
  </si>
  <si>
    <t>Col. (h)</t>
  </si>
  <si>
    <t>Col. (i)</t>
  </si>
  <si>
    <t>Col. (j)</t>
  </si>
  <si>
    <t>Col. (k)</t>
  </si>
  <si>
    <t>Col. (l)</t>
  </si>
  <si>
    <t>Col. (m)</t>
  </si>
  <si>
    <t>Col. (n)</t>
  </si>
  <si>
    <t>Long Term Debt:</t>
  </si>
  <si>
    <t>Acct 221 Bonds</t>
  </si>
  <si>
    <t>112.18.c,d</t>
  </si>
  <si>
    <t>Acct 223 Advances from Assoc. Companies</t>
  </si>
  <si>
    <t>112.20.c,d</t>
  </si>
  <si>
    <t>Acct 224 Other Long Term Debt</t>
  </si>
  <si>
    <t>112.21.c,d</t>
  </si>
  <si>
    <t>Less  Acct 222 Reacquired Debt</t>
  </si>
  <si>
    <t>112.19 c,d enter negative</t>
  </si>
  <si>
    <t>Total Long Term Debt</t>
  </si>
  <si>
    <t>Preferred Stock (Note 1)</t>
  </si>
  <si>
    <t>112.3.c,d</t>
  </si>
  <si>
    <t>Common Equity- Per Books</t>
  </si>
  <si>
    <t>112.16.c,d</t>
  </si>
  <si>
    <t>Less Acct 204 Preferred Stock</t>
  </si>
  <si>
    <t>Less Acct 219 Accum Other Compre. Income</t>
  </si>
  <si>
    <t>112.15.c,d</t>
  </si>
  <si>
    <t xml:space="preserve">Less any acquisition premium or Goodwill </t>
  </si>
  <si>
    <t>Less Acct 216.1 Unappropriated Undistributed Subsidiary Earnings</t>
  </si>
  <si>
    <t>112.12.c,d</t>
  </si>
  <si>
    <t>Cost of Debt</t>
  </si>
  <si>
    <t>Acct 427 Interest on Long Term Debt</t>
  </si>
  <si>
    <t>117.62.c</t>
  </si>
  <si>
    <t>Acct 428 Amortization of Debt Discount and Expense</t>
  </si>
  <si>
    <t>117.63.c</t>
  </si>
  <si>
    <t>Acct 428.1 Amortization of Loss on Reacquired Debt</t>
  </si>
  <si>
    <t>117.64.c</t>
  </si>
  <si>
    <t>Acct 430 Interest on Debt to Assoc. Companies (LTD portion only) (Note 2)</t>
  </si>
  <si>
    <t>117.67.c</t>
  </si>
  <si>
    <t>Less:  Acct 429 Amort of Premium on Debt</t>
  </si>
  <si>
    <t>117.65.c enter negative</t>
  </si>
  <si>
    <t>Less:  Acct 429.1 Amort of Gain on Reacquired Debt</t>
  </si>
  <si>
    <t>117.66.c enter negative</t>
  </si>
  <si>
    <t>Total Interest Expense</t>
  </si>
  <si>
    <t>Cost of Preferred Stock</t>
  </si>
  <si>
    <t>Preferred Stock Dividends</t>
  </si>
  <si>
    <t>118.29.c</t>
  </si>
  <si>
    <t>Note 1.  If and when the Company issues preferred stock, footnote will indicate the authorizing regulatory agency, the docket/case number, and the date of the authorizing order.</t>
  </si>
  <si>
    <t>Note 2.  Interest on Debt to Associated Companies (FERC 430) will be populated with interest related to Long-Term Debt only.</t>
  </si>
  <si>
    <t>Note 3.  Any goodwill or acquisition premium paid for assets or entities are to be removed on line 168 unless the Commission has authorized that inclusion in rates.</t>
  </si>
  <si>
    <t xml:space="preserve">Attachment 3 - Incentive ROE </t>
  </si>
  <si>
    <t xml:space="preserve">Incentive ROE </t>
  </si>
  <si>
    <t>Rate Base</t>
  </si>
  <si>
    <t>Appendix III, line 30</t>
  </si>
  <si>
    <t>100 Basis Point Incentive Return</t>
  </si>
  <si>
    <t xml:space="preserve">  Long Term Debt  </t>
  </si>
  <si>
    <t>Appendix III, line 83</t>
  </si>
  <si>
    <t xml:space="preserve">  Preferred Stock </t>
  </si>
  <si>
    <t>Appendix III, line 84</t>
  </si>
  <si>
    <t xml:space="preserve">  Common Stock  Including 100 basis points    Appendix III, line 85</t>
  </si>
  <si>
    <t>Total  (sum lines 3-5)</t>
  </si>
  <si>
    <t>100 Basis Point Incentive Return multiplied by Rate Base (line 1 * line 6 col H)</t>
  </si>
  <si>
    <t xml:space="preserve">     T=1 - {[(1 - SIT) * (1 - FIT)] / (1 - SIT * FIT * p)} =  (From Appendix III, Line 54)</t>
  </si>
  <si>
    <t>Amortized Investment Tax Credit (Appendix III, line 59)</t>
  </si>
  <si>
    <t>Return and Income Taxes with 100 basis point increase in ROE</t>
  </si>
  <si>
    <t>Sum lines 7 and 18</t>
  </si>
  <si>
    <t>Return and Income Taxes without 100 basis point increase in ROE</t>
  </si>
  <si>
    <t>Sum lines 20 and 21</t>
  </si>
  <si>
    <t>Incremental Return and Income Taxes for 100 basis point increase in ROE</t>
  </si>
  <si>
    <t>Line 19 less line 22</t>
  </si>
  <si>
    <t>Sum Of Net Plant, CWIP, Abandoned Plant And Regulatory Assets</t>
  </si>
  <si>
    <t>Carrying Charge Difference for 100 Basis point of ROE</t>
  </si>
  <si>
    <t>(Line 23 divided by line 24)</t>
  </si>
  <si>
    <t>Note 1:   No incentive may be included in the formula absent authorization from FERC</t>
  </si>
  <si>
    <t xml:space="preserve">Note 2:  The 100 basis points is used to calculate the change in the carrying charge if an incentive is approved by the Commission and does not reflect what ultimately </t>
  </si>
  <si>
    <t xml:space="preserve">                 the Commission might approve as an incentive ROE adder for a specific transmission project.</t>
  </si>
  <si>
    <t>FERC has authorized incentives for the following projects:</t>
  </si>
  <si>
    <t>Project</t>
  </si>
  <si>
    <t>Docket Number</t>
  </si>
  <si>
    <t>Attachment 3a - Project (13 Monthly Balances)</t>
  </si>
  <si>
    <t>GROSS PLANT IN SERVICE</t>
  </si>
  <si>
    <t>ACCUMULATED DEPRECIATION</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</si>
  <si>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</si>
  <si>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</si>
  <si>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</si>
  <si>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</si>
  <si>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</si>
  <si>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</si>
  <si>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</si>
  <si>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</si>
  <si>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</si>
  <si>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</si>
  <si>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</si>
  <si>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</si>
  <si>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</si>
  <si>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</si>
  <si>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</si>
  <si>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</si>
  <si>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</si>
  <si>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</si>
  <si>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</si>
  <si>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</si>
  <si>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</si>
  <si>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</si>
  <si>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</si>
  <si>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</si>
  <si>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</si>
  <si>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</si>
  <si>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</si>
  <si>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</si>
  <si>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Project Name and Identification</t>
  </si>
  <si>
    <t>Dec</t>
  </si>
  <si>
    <t>Jan</t>
  </si>
  <si>
    <t>Feb</t>
  </si>
  <si>
    <t>Mar</t>
  </si>
  <si>
    <t>Apr</t>
  </si>
  <si>
    <t>Jun</t>
  </si>
  <si>
    <t>Jul</t>
  </si>
  <si>
    <t>Aug</t>
  </si>
  <si>
    <t>Sept</t>
  </si>
  <si>
    <t>Oct</t>
  </si>
  <si>
    <t>Nov</t>
  </si>
  <si>
    <t xml:space="preserve">Average Gross </t>
  </si>
  <si>
    <t>Average Accum.</t>
  </si>
  <si>
    <t>Average Net</t>
  </si>
  <si>
    <t xml:space="preserve"> Plant in Service (1)</t>
  </si>
  <si>
    <t>-</t>
  </si>
  <si>
    <t>Depreciation (2)</t>
  </si>
  <si>
    <t>Plant in Service</t>
  </si>
  <si>
    <t>Notes</t>
  </si>
  <si>
    <t>Calculated as the average of Columns (a) through (m).</t>
  </si>
  <si>
    <t>Calculated as the average of Columns (n) through (z).</t>
  </si>
  <si>
    <t>Attachment 4 - Transmission Enhancement Charge Worksheet</t>
  </si>
  <si>
    <t>Rev Requirement before Incentive Projects</t>
  </si>
  <si>
    <t>(Appendix III, line 65)</t>
  </si>
  <si>
    <t>Less Transmission Depreciation Expense, Abandoned Plant Amort, Reg Asset Amort, and O&amp;M</t>
  </si>
  <si>
    <t>(Appendix III, lines 40 &amp; 42 plus Appendix III, line 38)</t>
  </si>
  <si>
    <t>Net Rev Req less Depreciation expense and O&amp;M</t>
  </si>
  <si>
    <t>(Line 1 minus line 2)</t>
  </si>
  <si>
    <t xml:space="preserve">Sum Of Net Plant, CWIP, Regulatory Asset and Abandoned Plant  </t>
  </si>
  <si>
    <t>Base Fixed Charge Rate Less Depreciation/Amortization and O&amp;M (Base FCR)</t>
  </si>
  <si>
    <t>(Line 3 / line 4)</t>
  </si>
  <si>
    <t>(Attachment 3, line 25)</t>
  </si>
  <si>
    <t>Column A</t>
  </si>
  <si>
    <t>Column B</t>
  </si>
  <si>
    <t>Column C</t>
  </si>
  <si>
    <t>Column D</t>
  </si>
  <si>
    <t>Column E</t>
  </si>
  <si>
    <t>Column F</t>
  </si>
  <si>
    <t>Column G</t>
  </si>
  <si>
    <t>Column H</t>
  </si>
  <si>
    <t>Column I</t>
  </si>
  <si>
    <t>Column J</t>
  </si>
  <si>
    <t>Column K</t>
  </si>
  <si>
    <t>Column L</t>
  </si>
  <si>
    <t>Column M</t>
  </si>
  <si>
    <t>(Notes 1 and 2)</t>
  </si>
  <si>
    <t>Project Name and CAISO Identification</t>
  </si>
  <si>
    <t>Useful life of project/Amort period</t>
  </si>
  <si>
    <t>Input the allowed ROE Incentive</t>
  </si>
  <si>
    <t>Line 5</t>
  </si>
  <si>
    <t>Line 6 times Col C divided by 100 basis points plus Col D</t>
  </si>
  <si>
    <t>Actual Rev Req at Base FCR</t>
  </si>
  <si>
    <t>Actual Rev Req at Increased ROE</t>
  </si>
  <si>
    <t>Incremental Rev Req at Increased ROE of Incentive Projects</t>
  </si>
  <si>
    <t>Discount</t>
  </si>
  <si>
    <t>Net Revenue</t>
  </si>
  <si>
    <t>Increased ROE (Basis Points) (Note 3)</t>
  </si>
  <si>
    <t>Base Fixed Charge Rate Less Depreciation/Amortization and O&amp;M (Base FCR (line 5))</t>
  </si>
  <si>
    <t>FCR for This Project  (Line 6 x Col C /100 + Col D)</t>
  </si>
  <si>
    <t>13 Month Balance of Investment           (Note 2)  (company records)</t>
  </si>
  <si>
    <t>Depreciation or Amortization Expense     (company records)</t>
  </si>
  <si>
    <t>Directly Assigned O&amp;M (Note 5)</t>
  </si>
  <si>
    <t>Revenue Requirement</t>
  </si>
  <si>
    <t xml:space="preserve">Col J less Col I for Incentive Projects </t>
  </si>
  <si>
    <t>(Note 4)</t>
  </si>
  <si>
    <t>Col J - Col L</t>
  </si>
  <si>
    <t>[Col D x Col F + Col G + Col H]</t>
  </si>
  <si>
    <t>(Col E x Col F + Col G + Col H)</t>
  </si>
  <si>
    <t>7a</t>
  </si>
  <si>
    <t>7b</t>
  </si>
  <si>
    <t>7c</t>
  </si>
  <si>
    <t>7d</t>
  </si>
  <si>
    <t>7e</t>
  </si>
  <si>
    <t>7f</t>
  </si>
  <si>
    <t>7g</t>
  </si>
  <si>
    <t>7h</t>
  </si>
  <si>
    <r>
      <t xml:space="preserve">Total  </t>
    </r>
    <r>
      <rPr>
        <sz val="12"/>
        <rFont val="Arial Narrow"/>
        <family val="2"/>
      </rPr>
      <t>(sum of lines 7 above)</t>
    </r>
  </si>
  <si>
    <t>Line 9 must tie to the lines above as shown</t>
  </si>
  <si>
    <t>Total of Col F ties to Line 4</t>
  </si>
  <si>
    <t xml:space="preserve">Total of Col G ties to the sum of Appendix III, lines 33b, 40 &amp; 42, col 5) </t>
  </si>
  <si>
    <t>Total of Col H ties to Appendix III, Lines 38 - line 33b</t>
  </si>
  <si>
    <t>Total of Col I ties to Line 1 Total</t>
  </si>
  <si>
    <t>Total of Col J ties to  Appendix III, Line 65</t>
  </si>
  <si>
    <t>Total of Col K ties to Appendix III, Line 66</t>
  </si>
  <si>
    <t>Total to be Charged</t>
  </si>
  <si>
    <t>Note 1:  Add additional lines after line 7i for additional projects</t>
  </si>
  <si>
    <t>Note 2: Regulatory Assets, Abandoned Plant, authorized CWIP in rate base, and plant in-service shall be listed separately on lines 7 for each project</t>
  </si>
  <si>
    <t>Note 3:  No incentive may be included in the formula absent authorization from FERC</t>
  </si>
  <si>
    <t xml:space="preserve">Note 4:  The Discount in Column L is the reduction in revenue, if any, that the company agreed to, for instance, to be selected to build facilities as the result of a competitive process and equals the amount by which the </t>
  </si>
  <si>
    <t xml:space="preserve">   annual revenue requirement is reduced from the ceiling rate.  A workpaper will be provided to show the calculation of the discount.</t>
  </si>
  <si>
    <t xml:space="preserve">Note 5:  All O&amp;M will be directly assigned to each project with plant in service based on the invoiced amount per project.  The detail supporting the O&amp;M direct assignment will be provided in a workpaper and the totals shown in a Form No. 1 footnote to pages 320-323.  </t>
  </si>
  <si>
    <t xml:space="preserve">   A&amp;G will be allocated in proportion to the Transmission O&amp;M for each item in Lines 7 (not including amortization of Regulatory Asset(s) booked to Account 566).</t>
  </si>
  <si>
    <t>O&amp;M (excluding Amortization of Regulatory Assets)  (Line 11 is equal to Appendix III, line 32 - line 33 + line 33a, col 5 attributable to each project based on invoices)</t>
  </si>
  <si>
    <t>%O&amp;M                                    (Col B / total Col B)</t>
  </si>
  <si>
    <t>A&amp;G  [(Appendix III, line 34 - line 35 + lines 36 &amp; 37, col 5) * (Col C)</t>
  </si>
  <si>
    <t>O&amp;M (including A&amp;G)  (Col B + Col D)</t>
  </si>
  <si>
    <t>Total (sum lines 10 above)</t>
  </si>
  <si>
    <t>Note 6:</t>
  </si>
  <si>
    <t>Narrative step by step of how data is derived and calculated within this attachment and how Attachment 3 relates to this attachment:</t>
  </si>
  <si>
    <t>Step 1</t>
  </si>
  <si>
    <t>Lines 1-6 are sourced from  Appendix III,  Attachment 3 or calculated as set forth on each line.</t>
  </si>
  <si>
    <t>Step 2</t>
  </si>
  <si>
    <t xml:space="preserve">On lines 7, for each project (whether FERC authorized CWIP in rate base or plant in service), FERC authorized Abandoned Plant or FERC authorized Regulatory Asset, Input the data for Steps 3 to 7 </t>
  </si>
  <si>
    <t>Step 3</t>
  </si>
  <si>
    <t>On lines 7, Col A, input the name of the project</t>
  </si>
  <si>
    <t>Step 4</t>
  </si>
  <si>
    <t xml:space="preserve">On lines 7, Col B, input the useful life for projects with plant in service based on the depreciation rates set forth in Attach 9, or the amortization period approved by FERC for Abandoned Plant or Regulatory Assets </t>
  </si>
  <si>
    <t>Step 5</t>
  </si>
  <si>
    <t xml:space="preserve">Lines 7, Col C, is the increase in ROE authorized by FERC from Note 3 </t>
  </si>
  <si>
    <t>Step 6</t>
  </si>
  <si>
    <t>Lines 7, Col D, is the Base Fixed Charge Rate from line 5  which excludes any increased ROE authorized by FERC</t>
  </si>
  <si>
    <t>Step 7</t>
  </si>
  <si>
    <t>Lines 7, Col E, calculate the Fixed Rate Charge for the line including the increased ROE authorized by FERC</t>
  </si>
  <si>
    <t>Step 8</t>
  </si>
  <si>
    <t xml:space="preserve">On Lines 7, Col F, input the 13 month balance of each Investment (defined in Note 2 as Regulatory Assets, Abandoned Plant, authorized CWIP in rate base, and plant in-service).  The total on line 8 must tie to line 4. </t>
  </si>
  <si>
    <t>Step 9</t>
  </si>
  <si>
    <t xml:space="preserve">On Lines 7, Col G, input the depreciation or amortization expense associated with each investment and the total on line 8 must tie to the sum of Appendix III, lines 33b, 40 &amp; 42, col 5 </t>
  </si>
  <si>
    <t>Step 10</t>
  </si>
  <si>
    <t xml:space="preserve">On Lines 7, Col H, input the O&amp;M from Note 5, Col E for each project with plant in service. </t>
  </si>
  <si>
    <t>Step 11</t>
  </si>
  <si>
    <t>Lines 7, Col I, calculates the revenue requirement at the Base FCR for each Investment as the sum of Cols D, F, G and H</t>
  </si>
  <si>
    <t>Step 12</t>
  </si>
  <si>
    <t>Lines 7, Col J, calculates the revenue requirement for each Investment including any increased ROE authorized by FERC as the sum of Cols E, F, G and H</t>
  </si>
  <si>
    <t>Step 13</t>
  </si>
  <si>
    <t>Lines 7, Col K, calculates the revenue related to any increased ROE authorized by FERC.</t>
  </si>
  <si>
    <t>Step 14</t>
  </si>
  <si>
    <t>On Lines 7, Col L, input the  amount by which the transmission owner  has committed to charge less than the rate in Col J, regardless of how that Discount is calculated.  For each project, the amount of the Discount will be zero or a reduction to the annual transmission revenue requirement in one or more years.   The transmission owner will include, as part of its Annual Update, (i) an explanation of the basis for any Discount, (ii) a calculation of the Discount, and (iii) any documentation needed to support the calculation of the Discount.  The amount in Column 17  above equals the amount by which the annual revenue requirement is reduced from the ceiling rate</t>
  </si>
  <si>
    <t>Step 15</t>
  </si>
  <si>
    <t>Lines 7, Col M, calculates the revenue requirement attributable to each project to be charged customers as Col J less Col L.</t>
  </si>
  <si>
    <t>Attachment 3</t>
  </si>
  <si>
    <t>Attachment 3 calculates the increase in the Fixed Charge Rate attributable to an increase in ROE of 100 basis points.  Lines 7, Col C inputs the actual increase in ROE authorized by FERC for the project.  Lines 7, Col E compute the increase in the Fixed Charge Rate associated with the increased ROE authorized by FERC for each project.  The combination of Attachment 3 and Lines 7, Cols C &amp; E, allow the formula to calculate the proper Fixed Charge Rate for each project based on the actual ROE increase for each project authorized by FERC.</t>
  </si>
  <si>
    <t>Attachment 5 - Example of True-Up Calculation</t>
  </si>
  <si>
    <t>Annual True-Up Calculation</t>
  </si>
  <si>
    <t xml:space="preserve">Net </t>
  </si>
  <si>
    <t>Adjusted</t>
  </si>
  <si>
    <t>Under/(Over)</t>
  </si>
  <si>
    <t>Interest</t>
  </si>
  <si>
    <t>Total True-Up</t>
  </si>
  <si>
    <t>Collection</t>
  </si>
  <si>
    <t>Income</t>
  </si>
  <si>
    <t>Adjustment</t>
  </si>
  <si>
    <t>Identification</t>
  </si>
  <si>
    <t>Project Name</t>
  </si>
  <si>
    <r>
      <t>Requirement</t>
    </r>
    <r>
      <rPr>
        <vertAlign val="superscript"/>
        <sz val="12"/>
        <color theme="1"/>
        <rFont val="Times New Roman"/>
        <family val="1"/>
      </rPr>
      <t>1</t>
    </r>
  </si>
  <si>
    <r>
      <t>Revenue Received</t>
    </r>
    <r>
      <rPr>
        <vertAlign val="superscript"/>
        <sz val="12"/>
        <color theme="1"/>
        <rFont val="Times New Roman"/>
        <family val="1"/>
      </rPr>
      <t>2</t>
    </r>
  </si>
  <si>
    <t>(C-D)</t>
  </si>
  <si>
    <t>(Expense)</t>
  </si>
  <si>
    <t>(E + F)</t>
  </si>
  <si>
    <t>Southwest Nevada Asset</t>
  </si>
  <si>
    <t>Southwest Nevada</t>
  </si>
  <si>
    <t>2c</t>
  </si>
  <si>
    <t>2d</t>
  </si>
  <si>
    <t xml:space="preserve">1.  From Attachment 4, Column M for the period being trued-up </t>
  </si>
  <si>
    <t>2.  The "revenue received" is the total amount of revenue distributed to GWT in the True-Up Year. The amounts do not include any true-ups, prior period</t>
  </si>
  <si>
    <t xml:space="preserve">     adjustments, or TRBAA amounts and reflects any Competitive Bid Concessions</t>
  </si>
  <si>
    <t>3. Then Monthly Interest Rate shall be equal to the interest rate set forth below on line 13 and be applied to the amount in Column E for a period of 24 months</t>
  </si>
  <si>
    <t>4. The True-Up Adjustment is applied to each project pro rata based its contribution to the Revenue Requirement shown in Attachment 4</t>
  </si>
  <si>
    <t>5. 2a Column (C) prior period adjustment for revenue received 2021-2022, Column (F) is interest</t>
  </si>
  <si>
    <t>FERC Refund Interest Rate</t>
  </si>
  <si>
    <t>Interest Rate:</t>
  </si>
  <si>
    <t>Quarter</t>
  </si>
  <si>
    <t>Quarterly Interest Rate under Section 35.19(a)</t>
  </si>
  <si>
    <t>1st Qtr.</t>
  </si>
  <si>
    <t xml:space="preserve">2nd Qtr </t>
  </si>
  <si>
    <t xml:space="preserve">3rd Qtr </t>
  </si>
  <si>
    <t>4th Qtr</t>
  </si>
  <si>
    <t xml:space="preserve">1st Qtr </t>
  </si>
  <si>
    <t>Sum lines 5-11</t>
  </si>
  <si>
    <t>Avg. Monthly FERC Rate</t>
  </si>
  <si>
    <t>Line 12 divided by 7</t>
  </si>
  <si>
    <t>Attachment 6a - Accumulated Deferred Income Taxes (ADIT) Average Worksheet (Projection)</t>
  </si>
  <si>
    <t>(Sum Col. B, C &amp; D)</t>
  </si>
  <si>
    <t>Ln</t>
  </si>
  <si>
    <t>Item</t>
  </si>
  <si>
    <t>Plant Related</t>
  </si>
  <si>
    <t>Labor Related</t>
  </si>
  <si>
    <t>ADIT-282 (enter negative)</t>
  </si>
  <si>
    <t>Line 12</t>
  </si>
  <si>
    <t>ADIT-283 (enter negative)</t>
  </si>
  <si>
    <t>Line 16</t>
  </si>
  <si>
    <t>ADIT-190</t>
  </si>
  <si>
    <t>Line 20</t>
  </si>
  <si>
    <t>Subtotal</t>
  </si>
  <si>
    <t>Sum of Lines 1-3</t>
  </si>
  <si>
    <t>Wages &amp; Salary Allocator (sum lines 1-3 for each column)</t>
  </si>
  <si>
    <t>Appendix III, line 81</t>
  </si>
  <si>
    <t>Net Plant Allocator</t>
  </si>
  <si>
    <t>Appendix III, line 15</t>
  </si>
  <si>
    <t>Total Plant Allocator</t>
  </si>
  <si>
    <t>Projected ADIT Total</t>
  </si>
  <si>
    <t>Enter as negative Appendix III, page 2, line 17</t>
  </si>
  <si>
    <t>Beginning Balance &amp; Monthly Changes</t>
  </si>
  <si>
    <t>Month</t>
  </si>
  <si>
    <t xml:space="preserve">Balance </t>
  </si>
  <si>
    <t>ADIT-282</t>
  </si>
  <si>
    <t>Balance-BOY (Attach 6c, Line 30)</t>
  </si>
  <si>
    <t>EOY (Attach 6d, Line 30 less Line 27)</t>
  </si>
  <si>
    <t>Balance-EOY Prorated (Attach 6b, Line 14)</t>
  </si>
  <si>
    <t>ADIT 282-Total (Lines 10+11)</t>
  </si>
  <si>
    <t>ADIT-283</t>
  </si>
  <si>
    <t>Balance-BOY (Attach 6c, Line 44)</t>
  </si>
  <si>
    <t>EOY (Attach 6d, Line 44 less Line 41)</t>
  </si>
  <si>
    <t>EOY Prorated (Attach 6b, Line 28)</t>
  </si>
  <si>
    <t>ADIT 283-Total  (Lines 14+15)</t>
  </si>
  <si>
    <t>Balance-BOY (Attach 6c, Line 18)</t>
  </si>
  <si>
    <t>EOY (Attach 6d, Line 18 less Line 15)</t>
  </si>
  <si>
    <t>EOY Prorated (Attach 6b, Line 42)</t>
  </si>
  <si>
    <t>ADIT 190-Total (Lines 18+19)</t>
  </si>
  <si>
    <t>Attachment 6b - Accumulated Deferred Income Taxes (ADIT) Proration Worksheet (Projection)</t>
  </si>
  <si>
    <t>Weighting for Projection</t>
  </si>
  <si>
    <t>Beginning Balance/
Monthly Increment</t>
  </si>
  <si>
    <t>Transmission Proration
(d) x (f)</t>
  </si>
  <si>
    <t>Plant Proration
(d) x (h)</t>
  </si>
  <si>
    <t>Labor Proration
(d) x (j)</t>
  </si>
  <si>
    <r>
      <t>ADIT-282-Proration-</t>
    </r>
    <r>
      <rPr>
        <b/>
        <sz val="12"/>
        <color rgb="FFFF0000"/>
        <rFont val="Arial Narrow"/>
        <family val="2"/>
      </rPr>
      <t>Note A</t>
    </r>
  </si>
  <si>
    <t>Balance (Attach 6c, Line 30)</t>
  </si>
  <si>
    <t>Increment</t>
  </si>
  <si>
    <t>ADIT 282-Prorated EOY Balance</t>
  </si>
  <si>
    <r>
      <t>ADIT-283-Proration-</t>
    </r>
    <r>
      <rPr>
        <b/>
        <sz val="12"/>
        <color rgb="FFFF0000"/>
        <rFont val="Arial Narrow"/>
        <family val="2"/>
      </rPr>
      <t>Note B</t>
    </r>
  </si>
  <si>
    <t>Balance (Attach 6c, Line 44)</t>
  </si>
  <si>
    <t>ADIT 283-Prorated EOY Balance</t>
  </si>
  <si>
    <r>
      <t>ADIT-190-Proration-</t>
    </r>
    <r>
      <rPr>
        <b/>
        <sz val="12"/>
        <color rgb="FFFF0000"/>
        <rFont val="Arial Narrow"/>
        <family val="2"/>
      </rPr>
      <t>Note C</t>
    </r>
  </si>
  <si>
    <t>Balance (Attach 6c, Line 18)</t>
  </si>
  <si>
    <t>ADIT 190-Prorated EOY Balance</t>
  </si>
  <si>
    <t>Uses a 365 day calendar year.</t>
  </si>
  <si>
    <t>Projected end of year ADIT must be based on solely on enacted tax law.  No assumptions for future estimated changes in tax law may be forecasted.</t>
  </si>
  <si>
    <t>Substantial portion, if not all, of the ADIT-282 balance is subject to proration.  Explanation must be provided for any portion of balance not subject to proration.</t>
  </si>
  <si>
    <t>Only amounts in ADIT-283 relating to Depreciation, if applicable, are subject to proration.  See Line 44 in Attach 6c and 6d.</t>
  </si>
  <si>
    <t>Only amounts in ADIT-190 related to NOL carryforwards, if applicable, are subject to proration.  See Line 18 in Attach 6c and 6d.</t>
  </si>
  <si>
    <t>Attachment 6c - Accumulated Deferred Income Taxes (ADIT) Worksheet (Beginning of Year)</t>
  </si>
  <si>
    <t>Line 30</t>
  </si>
  <si>
    <t>Line 44</t>
  </si>
  <si>
    <t>Line 18</t>
  </si>
  <si>
    <t>Sum of Lines 1-4</t>
  </si>
  <si>
    <t>In filling out this attachment, a full and complete description of each item and justification for the allocation to Columns B-F and each separate ADIT item will be listed.  Dissimilar items with amounts exceeding $100,000 will be listed separately.  For ADIT directly related to project depreciation or CWIP, the balance will be shown in a separate row for each project.</t>
  </si>
  <si>
    <t>Gas, Prod or Other Related</t>
  </si>
  <si>
    <t>Justification</t>
  </si>
  <si>
    <t>(Excess)/Deficient Deferred Income Taxes - Protected</t>
  </si>
  <si>
    <t>(Excess)/Deficient Deferred Income Taxes - Unprotected</t>
  </si>
  <si>
    <t>NOL Carryforward</t>
  </si>
  <si>
    <t>Amount subject to Proration</t>
  </si>
  <si>
    <t>Subtotal - p234.b</t>
  </si>
  <si>
    <t>Less FASB 109 Above if not separately removed</t>
  </si>
  <si>
    <t>Less FASB 106 Above if not separately removed</t>
  </si>
  <si>
    <t>Instructions for Account 190:</t>
  </si>
  <si>
    <t>1.  ADIT items related only to Non-Electric Operations (e.g., Gas, Water, Sewer) or Production are directly assigned to Column C</t>
  </si>
  <si>
    <t>2.  ADIT items related only to Transmission are directly assigned to Column D</t>
  </si>
  <si>
    <t>3.  ADIT items related to Plant and not in Columns C &amp; D are included in Column E</t>
  </si>
  <si>
    <t>4.  ADIT items related to labor and not in Columns C &amp; D are included in Column F</t>
  </si>
  <si>
    <t xml:space="preserve">5. Deferred income taxes arise when items are included in taxable income in different periods than they are included in rates, therefore if the item giving rise to the ADIT is not included in the formula, the associated ADIT amount shall be excluded.  This includes but is not limited to SFAS 109  &amp; 158 balance sheet items and the related ADIT.  </t>
  </si>
  <si>
    <t>ADIT- 282</t>
  </si>
  <si>
    <t>Depreciation Items</t>
  </si>
  <si>
    <t xml:space="preserve">Subtotal - p274.b </t>
  </si>
  <si>
    <t>Instructions for Account 282:</t>
  </si>
  <si>
    <t>ADIT- 283</t>
  </si>
  <si>
    <t xml:space="preserve">Subtotal - p276.b  </t>
  </si>
  <si>
    <t>Instructions for Account 283:</t>
  </si>
  <si>
    <t>Attachment 6d - Accumulated Deferred Income Taxes (ADIT) Worksheet (End of Year)</t>
  </si>
  <si>
    <t>Subtotal - p234.c</t>
  </si>
  <si>
    <t xml:space="preserve">5.  Deferred income taxes arise when items are included in taxable income in different periods than they are included in rates, therefore if the item giving rise to the ADIT is not included in the formula, the associated ADIT amount shall be excluded.  This includes but is not limited to SFAS 109  &amp; 158 balance sheet items and the related ADIT.  </t>
  </si>
  <si>
    <t xml:space="preserve">Subtotal - p275.k </t>
  </si>
  <si>
    <t xml:space="preserve">Subtotal - p277.k  </t>
  </si>
  <si>
    <t>Attachment 6e - Accumulated Deferred Income Taxes (ADIT) Average Worksheet (True-Up)</t>
  </si>
  <si>
    <t>Total Plant &amp; Labor Related</t>
  </si>
  <si>
    <t>Wages &amp; Salary Allocator</t>
  </si>
  <si>
    <t>ADIT Total</t>
  </si>
  <si>
    <t>Balance-EOY (Attach 6d, Line 30 less Line 27)</t>
  </si>
  <si>
    <t>Balance-EOY-Prorated (Attach 6f, Line 14)</t>
  </si>
  <si>
    <t>Balance-EOY-Total (Lines 10+11)</t>
  </si>
  <si>
    <t>Balance-EOY (Attach 6d, Line 44 less Line 41)</t>
  </si>
  <si>
    <t>Balance-EOY-Prorated (Attach 6f, Line 28)</t>
  </si>
  <si>
    <t>Balance-EOY-Total (Lines 14+15)</t>
  </si>
  <si>
    <t>Balance-EOY (Attach 6d, Line 18 less Line 15)</t>
  </si>
  <si>
    <t>Balance-EOY-Prorated (Attach 6f, Line 42)</t>
  </si>
  <si>
    <t>Balance-EOY-Total (Lines 18+19)</t>
  </si>
  <si>
    <t>Attachment 6f - Accumulated Deferred Income Taxes (ADIT) Proration Worksheet (True-up)</t>
  </si>
  <si>
    <t xml:space="preserve">Monthly Increment </t>
  </si>
  <si>
    <t>Proration
(d) x (e)</t>
  </si>
  <si>
    <t>Prorated Projected Balance (Cumulative Sum of f)</t>
  </si>
  <si>
    <t>Actual Monthly Activity</t>
  </si>
  <si>
    <t>Difference between projected and actual activity</t>
  </si>
  <si>
    <t>Partially prorate actual activity above Monthly projection</t>
  </si>
  <si>
    <t>Partially prorate actual activity below Monthly projection but increases ADIT</t>
  </si>
  <si>
    <t>Partially prorate actual activity below Monthly projection and is a reduction to ADIT</t>
  </si>
  <si>
    <t>Partially prorated actual balance</t>
  </si>
  <si>
    <r>
      <t>ADIT-282-Proration-</t>
    </r>
    <r>
      <rPr>
        <b/>
        <sz val="10"/>
        <color rgb="FFFF0000"/>
        <rFont val="Arial Narrow"/>
        <family val="2"/>
      </rPr>
      <t>Note A</t>
    </r>
  </si>
  <si>
    <t>Balance (Attach 4c, Line 30)</t>
  </si>
  <si>
    <r>
      <t>ADIT-283-Proration-</t>
    </r>
    <r>
      <rPr>
        <b/>
        <sz val="10"/>
        <color rgb="FFFF0000"/>
        <rFont val="Arial Narrow"/>
        <family val="2"/>
      </rPr>
      <t>Note B</t>
    </r>
  </si>
  <si>
    <t>Balance (Attach 4c, Line 44)</t>
  </si>
  <si>
    <r>
      <t>ADIT-190-Proration-</t>
    </r>
    <r>
      <rPr>
        <b/>
        <sz val="10"/>
        <color rgb="FFFF0000"/>
        <rFont val="Arial Narrow"/>
        <family val="2"/>
      </rPr>
      <t>Note C</t>
    </r>
  </si>
  <si>
    <t>Balance (Attach 4c, Line 18)</t>
  </si>
  <si>
    <t>Only amounts in ADIT-283 relating to Depreciation, if applicable, are subject to proration.  See Line 44 in Attach 4c and 4d.</t>
  </si>
  <si>
    <t>Only amounts in ADIT-190 related to NOL carryforwards, if applicable, are subject to proration.  See Line 18 in Attach 4c and 4d.</t>
  </si>
  <si>
    <r>
      <t xml:space="preserve">Attachment 7 - </t>
    </r>
    <r>
      <rPr>
        <sz val="12"/>
        <color indexed="8"/>
        <rFont val="Arial Narrow"/>
        <family val="2"/>
      </rPr>
      <t>Depreciation and Amortization Rates</t>
    </r>
    <r>
      <rPr>
        <sz val="12"/>
        <rFont val="Arial Narrow"/>
        <family val="2"/>
      </rPr>
      <t xml:space="preserve"> </t>
    </r>
  </si>
  <si>
    <t>FERC ACCOUNT</t>
  </si>
  <si>
    <t>DESCRIPTION</t>
  </si>
  <si>
    <t>RATE PERCENT</t>
  </si>
  <si>
    <t>TRANSMISSION</t>
  </si>
  <si>
    <t>Land Rights (Note 3)</t>
  </si>
  <si>
    <t>Structures and Improvements</t>
  </si>
  <si>
    <t>Station Equipment</t>
  </si>
  <si>
    <t>Towers and Fixtures</t>
  </si>
  <si>
    <t>transmission lines</t>
  </si>
  <si>
    <t>Poles and Fixtures</t>
  </si>
  <si>
    <t xml:space="preserve">substations </t>
  </si>
  <si>
    <t>Overhead Conductors &amp; Devices</t>
  </si>
  <si>
    <t>Underground Conduit</t>
  </si>
  <si>
    <t>Underground Conductors &amp; Devices</t>
  </si>
  <si>
    <t>Roads and Trails</t>
  </si>
  <si>
    <t>GENERAL AND INTANGIBLE</t>
  </si>
  <si>
    <t>Franchises and Consents (Note 3)</t>
  </si>
  <si>
    <t>Intangible Plant - 5 Year</t>
  </si>
  <si>
    <t>Office Furniture and Equipment</t>
  </si>
  <si>
    <t>Network Equipment</t>
  </si>
  <si>
    <t>Transportation Equipment - Auto</t>
  </si>
  <si>
    <t>Transportation Equipment - Light Truck</t>
  </si>
  <si>
    <t>Transportation Equipment - Trailers</t>
  </si>
  <si>
    <t>Transportation Equipment - Heavy Trucks</t>
  </si>
  <si>
    <t>Stores Equipment</t>
  </si>
  <si>
    <t>Tools, Shop and Garage Equipment</t>
  </si>
  <si>
    <t>Laboratory Equipment</t>
  </si>
  <si>
    <t>Power Operated Equipment</t>
  </si>
  <si>
    <t>Communication Equipment</t>
  </si>
  <si>
    <t>Miscellaneous Equipment</t>
  </si>
  <si>
    <r>
      <rPr>
        <sz val="11"/>
        <color indexed="8"/>
        <rFont val="Arial"/>
        <family val="2"/>
      </rPr>
      <t>Transmission facility Contributions in Aid of Construction</t>
    </r>
    <r>
      <rPr>
        <sz val="11"/>
        <rFont val="Arial"/>
        <family val="2"/>
      </rPr>
      <t xml:space="preserve"> </t>
    </r>
  </si>
  <si>
    <r>
      <t xml:space="preserve"> </t>
    </r>
    <r>
      <rPr>
        <sz val="12"/>
        <color indexed="8"/>
        <rFont val="Arial Narrow"/>
        <family val="2"/>
      </rPr>
      <t>Note 1</t>
    </r>
    <r>
      <rPr>
        <sz val="12"/>
        <rFont val="Arial Narrow"/>
        <family val="2"/>
      </rPr>
      <t xml:space="preserve"> </t>
    </r>
  </si>
  <si>
    <t xml:space="preserve">Note 1: In the event a Contribution in Aid of Construction (CIAC) is made for a transmission facility, the transmission depreciation rates above will be weighted based on the relative amount of underlying plant booked to the accounts shown in lines 1-10 above, and the resultant weighted average depreciation rate will be used to determine the life over which to amortize the CIAC.  The life of each facility subject to a CIAC will be estimated in this manner at the time the plant is placed into service, and will not change over the life of the CIAC without FERC approval.  The combined amortization expense for all CIACs shall be the sum of each individual CIAC balance amortized over the life of each individual CIAC established in this manner. </t>
  </si>
  <si>
    <t>Note 2: GWT's depreciation and amortization rates may not be changed absent a section 205 or 206 filing</t>
  </si>
  <si>
    <t>Note 3: Electric Intangible Franchises and Transmission Land Rights are amortized over the life of the franchise agreement or land right.</t>
  </si>
  <si>
    <t>Attachment 8 - Land Held for Future Use</t>
  </si>
  <si>
    <t xml:space="preserve">(c) </t>
  </si>
  <si>
    <t xml:space="preserve">(e) </t>
  </si>
  <si>
    <t>FERC Subaccount No.</t>
  </si>
  <si>
    <t>Item Name</t>
  </si>
  <si>
    <t>Land Held for Future Use</t>
  </si>
  <si>
    <t>Average of Columns (e) Through (q)</t>
  </si>
  <si>
    <t>Dec. 31</t>
  </si>
  <si>
    <t>Jan. 31</t>
  </si>
  <si>
    <t>Feb. 28/29</t>
  </si>
  <si>
    <t>Mar. 31</t>
  </si>
  <si>
    <t>Apr. 30</t>
  </si>
  <si>
    <t>May 31</t>
  </si>
  <si>
    <t>Apr 30</t>
  </si>
  <si>
    <t>Jul. 31</t>
  </si>
  <si>
    <t>Aug. 31</t>
  </si>
  <si>
    <t>Sept. 30</t>
  </si>
  <si>
    <t>Oct. 31</t>
  </si>
  <si>
    <t>Nov. 30</t>
  </si>
  <si>
    <t>1b</t>
  </si>
  <si>
    <t>1c</t>
  </si>
  <si>
    <t>Total Land Held for Future Use in rate base:</t>
  </si>
  <si>
    <t xml:space="preserve">General note:  Source of monthly balance data on this page is company records and only Land Held for Future Use that is included in transmission </t>
  </si>
  <si>
    <t xml:space="preserve">     specific plans may be included on this attachment.</t>
  </si>
  <si>
    <t xml:space="preserve">Attachment 9 - Regulatory Assets and Abandoned Plant </t>
  </si>
  <si>
    <t>Regulatory Asset</t>
  </si>
  <si>
    <t xml:space="preserve">(r) </t>
  </si>
  <si>
    <t>Recovery Amount Approved (1)</t>
  </si>
  <si>
    <t>÷</t>
  </si>
  <si>
    <t>Recovery Period (Months) (1)</t>
  </si>
  <si>
    <t>Monthly Amort. Expense 
(col b/ col c)</t>
  </si>
  <si>
    <t>×</t>
  </si>
  <si>
    <t>Amort. Periods This Year</t>
  </si>
  <si>
    <t>Current Year Amort Expense 
(col d * col e)</t>
  </si>
  <si>
    <t>Jun. 30</t>
  </si>
  <si>
    <t>Average Unamortized Balance (2) 
(sum col g to s / 13)</t>
  </si>
  <si>
    <t>Allocable to Formula Rate (1)</t>
  </si>
  <si>
    <t>Rate Base Balance 
(col t * col u)</t>
  </si>
  <si>
    <t>Internal ID or Code</t>
  </si>
  <si>
    <t>Docket No.</t>
  </si>
  <si>
    <t>Start-Up</t>
  </si>
  <si>
    <t>ER19-191-000</t>
  </si>
  <si>
    <t>Total Regulatory Asset Amortization Expense:</t>
  </si>
  <si>
    <t>General Note:  The source for monthly balance data on this page are company records.  Amounts shown are total amounts.</t>
  </si>
  <si>
    <t>Total Regulatory Assets in Rate Base:</t>
  </si>
  <si>
    <t>NOTES:</t>
  </si>
  <si>
    <t>Notes:</t>
  </si>
  <si>
    <t>Non-zero values in this column may only be established and changed  subject to Commission direction or approval pursuant to an appropriate §205, §206, or §219 filing.  Amounts are booked to Account 566</t>
  </si>
  <si>
    <t>Average balance calculated as [sum of columns (g) through (s)] ÷13.</t>
  </si>
  <si>
    <t>Abandoned Plant</t>
  </si>
  <si>
    <t>Allocable to Formula Rate</t>
  </si>
  <si>
    <t>2024</t>
  </si>
  <si>
    <t>2025</t>
  </si>
  <si>
    <t>Pre-Commercial</t>
  </si>
  <si>
    <t>Total Abandoned Plant Amortization Expense:</t>
  </si>
  <si>
    <t>Total Abandoned Plant in Rate Base:</t>
  </si>
  <si>
    <t>Non-zero values in this column may only be established and changed  subject to Commission direction or approval pursuant to an appropriate §205, §206, or §219 filing.</t>
  </si>
  <si>
    <t>Average balance calculated as [sum of columns (h) through (t)] ÷13.</t>
  </si>
  <si>
    <t>Attachment 10 - Unfunded Reserves</t>
  </si>
  <si>
    <t>Subaccount No. (1)</t>
  </si>
  <si>
    <t>Item Description</t>
  </si>
  <si>
    <t>Aug 31</t>
  </si>
  <si>
    <t>Average of Columns (c) Through (o)</t>
  </si>
  <si>
    <t>% Customer Funded</t>
  </si>
  <si>
    <t>% Non-Restricted</t>
  </si>
  <si>
    <t>Balance in Rate Base (column (p) * column (q) * column (r))</t>
  </si>
  <si>
    <t>Total Company-Wide Reserves:</t>
  </si>
  <si>
    <t>Total Unfunded Reserves in Rate Base:</t>
  </si>
  <si>
    <t>GWT must list ALL unfunded reserves on its books by subaccount, specifically including (but not limited to) all subaccounts for FERC Account Nos. 228.1 through 228.4, in addition to unfunded reserves for Accrued Vacation Payable, Accrued Sick Payable, Accrued Severance Payable, and Accrued Deferred Payroll Payable, that may be recorded in FERC Account Nos. 232 and 242.  "Unfunded reserve" is defined as an accrued balance (1) created and increased by debiting an expense which is included in this formula rate (2) in advance of an anticipated expenditure related to that expense (3) that is not deposited in a restricted account (e.g., set aside in an escrow account) with the earnings thereon retained within that account.  Where a given reserve is only partially funded through accruals collected from customers, only the balance funded by customer collections shall serve as a rate base credit.  Amounts related to SFAS 109 and 158 shall not be included as unfunded reserves.  The source of monthly balance data is company records.</t>
  </si>
  <si>
    <t>Attachment 11 - CWIP in Rate Base</t>
  </si>
  <si>
    <t>Job ID</t>
  </si>
  <si>
    <t>Construction Start Date</t>
  </si>
  <si>
    <t>Estimated In-Service Date</t>
  </si>
  <si>
    <t>Approval Docket No.</t>
  </si>
  <si>
    <t>Average Balance of Columns (f) through (r)</t>
  </si>
  <si>
    <t>% Approved for Recovery (1)</t>
  </si>
  <si>
    <t>Rate Base Amount 
(column (s) *column (t))</t>
  </si>
  <si>
    <t>GLW/VEA Area Upgrades</t>
  </si>
  <si>
    <t>ER24-1865-000</t>
  </si>
  <si>
    <t>Total CWIP in Rate Base:</t>
  </si>
  <si>
    <t>General notes:  (1) Source of monthly balance data on this page is company records.</t>
  </si>
  <si>
    <t xml:space="preserve">      (2) Percentages in Column (t) may only be changed pursuant to FERC approval.</t>
  </si>
  <si>
    <t>Attachment 12 - Income Tax Adjustment</t>
  </si>
  <si>
    <t>Income Tax Adjustments</t>
  </si>
  <si>
    <t>Dec 31,</t>
  </si>
  <si>
    <t>Total Tax adjustment for Permanent Differences (Note T)</t>
  </si>
  <si>
    <t>Input to Appendix III, Line 59b</t>
  </si>
  <si>
    <t>Tax adjustment for AFUDC Equity (Note T)</t>
  </si>
  <si>
    <t>(Note 1)</t>
  </si>
  <si>
    <t>Tax Adjustment for Meals &amp; Entertainment (Note T)</t>
  </si>
  <si>
    <t>Tax Adjustment for Charitable Contributions</t>
  </si>
  <si>
    <t>1d</t>
  </si>
  <si>
    <t>Rate Mitigation Adjustment</t>
  </si>
  <si>
    <t>Amortized Excess Deferred Taxes (enter negative) (Note S)</t>
  </si>
  <si>
    <t>(Note 2)</t>
  </si>
  <si>
    <t>Input to Appendix III, Line 59a</t>
  </si>
  <si>
    <t>Amortized Deficient Deferred Taxes (Note S)</t>
  </si>
  <si>
    <t>AFUDC equity component is the Equity portion of capitalized AFUDC included in the current book depreciation expense attributable to the transmission function.</t>
  </si>
  <si>
    <t>Upon enactment of changes in tax law, income tax rates (including changes in apportionment) and other actions taken by a taxing authority, deferred taxes are re-measured and adjusted in the Company's books of account, resulting in excess or deficient accumulated deferred taxes.  Such excess or deficient deferred taxes attributed to the transmission function will be based upon tax records and calculated in the calendar year in which the excess or deficient amount was measured and recorded for financial reporting purposes.  Amounts to be included will be January 1, 2017 and thereafter.  Amortization shall be over the estimated useful life of the underlying assets.</t>
  </si>
  <si>
    <t>Workpaper 1 -O&amp;M Detail</t>
  </si>
  <si>
    <t>Forecasted O&amp;M Detail, worksheet prepared for each project</t>
  </si>
  <si>
    <t>GridLiance West Internal Labor1</t>
  </si>
  <si>
    <r>
      <t>Non-Labor</t>
    </r>
    <r>
      <rPr>
        <vertAlign val="superscript"/>
        <sz val="12"/>
        <rFont val="Arial Narrow"/>
        <family val="2"/>
      </rPr>
      <t>1</t>
    </r>
  </si>
  <si>
    <t>Partner</t>
  </si>
  <si>
    <r>
      <t>Partner Amount</t>
    </r>
    <r>
      <rPr>
        <vertAlign val="superscript"/>
        <sz val="12"/>
        <rFont val="Arial Narrow"/>
        <family val="2"/>
      </rPr>
      <t>1</t>
    </r>
  </si>
  <si>
    <t>GridLiance &amp; Other O&amp;M (Internal &amp; Non-Labor)</t>
  </si>
  <si>
    <t>Valley O&amp;M</t>
  </si>
  <si>
    <t>Rents/ROW Payments</t>
  </si>
  <si>
    <t>Actual O&amp;M Detail, worksheet prepared for each project</t>
  </si>
  <si>
    <t>FERC Account Description</t>
  </si>
  <si>
    <t>Account</t>
  </si>
  <si>
    <t xml:space="preserve">Operation supervision and engineering. </t>
  </si>
  <si>
    <t xml:space="preserve"> Load dispatch—Reliability. </t>
  </si>
  <si>
    <t xml:space="preserve">Load dispatch—Monitor and operate transmission system. </t>
  </si>
  <si>
    <t xml:space="preserve">Load dispatch—Transmission service and scheduling. </t>
  </si>
  <si>
    <t xml:space="preserve">Scheduling, system control and dispatch services. </t>
  </si>
  <si>
    <t xml:space="preserve">Reliability planning and standards development. </t>
  </si>
  <si>
    <t xml:space="preserve">Transmission service studies. </t>
  </si>
  <si>
    <t xml:space="preserve">Generation interconnection studies. </t>
  </si>
  <si>
    <t xml:space="preserve">Reliability planning and standards development services. </t>
  </si>
  <si>
    <t xml:space="preserve">Station expenses  . </t>
  </si>
  <si>
    <t xml:space="preserve">Overhead line expense  . </t>
  </si>
  <si>
    <t xml:space="preserve">Underground line expenses  . </t>
  </si>
  <si>
    <t xml:space="preserve">Transmission of electricity by others  . </t>
  </si>
  <si>
    <t xml:space="preserve">Miscellaneous transmission expenses  . </t>
  </si>
  <si>
    <t xml:space="preserve">Rents. </t>
  </si>
  <si>
    <t xml:space="preserve">Maintenance supervision and engineering  . </t>
  </si>
  <si>
    <t xml:space="preserve">Maintenance of structures  . </t>
  </si>
  <si>
    <t xml:space="preserve">Maintenance of computer hardware. </t>
  </si>
  <si>
    <t xml:space="preserve">Maintenance of computer software. </t>
  </si>
  <si>
    <t xml:space="preserve">Maintenance of communication equipment. </t>
  </si>
  <si>
    <t xml:space="preserve">Maintenance of miscellaneous regional transmission plant. </t>
  </si>
  <si>
    <t xml:space="preserve">Maintenance of station equipment  . </t>
  </si>
  <si>
    <t xml:space="preserve">Maintenance of overhead lines  . </t>
  </si>
  <si>
    <t xml:space="preserve">Maintenance of underground lines  . </t>
  </si>
  <si>
    <t xml:space="preserve">Maintenance of miscellaneous transmission plant </t>
  </si>
  <si>
    <t>Partner means another entity with whom GridLiance West has partnered to build a project</t>
  </si>
  <si>
    <t>Add additional columns if there is more than one partner</t>
  </si>
  <si>
    <t>1 Represents GridLiance West's portion after sharing with partner</t>
  </si>
  <si>
    <t>Workpaper 2 - A&amp;G Detail</t>
  </si>
  <si>
    <t>Forecasted A&amp;G Detail, worksheet prepared for GridLiance West</t>
  </si>
  <si>
    <t>GridLiance West Internal Labor</t>
  </si>
  <si>
    <t>Non-Labor $</t>
  </si>
  <si>
    <t>Partner Amount</t>
  </si>
  <si>
    <t>GridLiance and Other G&amp;A (Internal &amp; Non-Labor)</t>
  </si>
  <si>
    <t>Insurance</t>
  </si>
  <si>
    <t>Actual A&amp;G Detail, worksheet prepared for GridLiance West</t>
  </si>
  <si>
    <t xml:space="preserve"> Administrative and general salaries.</t>
  </si>
  <si>
    <t xml:space="preserve"> Office supplies and expenses.</t>
  </si>
  <si>
    <t xml:space="preserve"> Administrative expenses transferred—Credit.</t>
  </si>
  <si>
    <t xml:space="preserve"> Outside services employed.</t>
  </si>
  <si>
    <t xml:space="preserve"> Property insurance.</t>
  </si>
  <si>
    <t xml:space="preserve"> Injuries and damages.</t>
  </si>
  <si>
    <t xml:space="preserve"> Employee pensions and benefits.</t>
  </si>
  <si>
    <t xml:space="preserve"> Franchise requirements.</t>
  </si>
  <si>
    <t xml:space="preserve"> Regulatory commission expenses.</t>
  </si>
  <si>
    <t xml:space="preserve"> Duplicate charges—Credit.</t>
  </si>
  <si>
    <t xml:space="preserve"> General advertising expenses.</t>
  </si>
  <si>
    <t xml:space="preserve"> Miscellaneous general expenses.</t>
  </si>
  <si>
    <t xml:space="preserve"> Rents.</t>
  </si>
  <si>
    <t xml:space="preserve"> Transportation expenses (Nonmajor only).</t>
  </si>
  <si>
    <t xml:space="preserve"> Maintenance of general plant.</t>
  </si>
  <si>
    <t>Workpaper 3 - Capital Additions by FERC Account</t>
  </si>
  <si>
    <t>Estimated Capital Additions</t>
  </si>
  <si>
    <t>Detailed Breakout</t>
  </si>
  <si>
    <t>All Others</t>
  </si>
  <si>
    <t>Total  (sum lines 1-1x)</t>
  </si>
  <si>
    <t>The Detailed Breakout above will provide the level of detail available, by FERC account number if available.</t>
  </si>
  <si>
    <t>Actual Additions by FERC Account</t>
  </si>
  <si>
    <t xml:space="preserve"> Land Rights </t>
  </si>
  <si>
    <t xml:space="preserve"> Structures and Improvements </t>
  </si>
  <si>
    <t xml:space="preserve"> Structures and Improvements - Equipment</t>
  </si>
  <si>
    <t xml:space="preserve"> Station Equipment </t>
  </si>
  <si>
    <t xml:space="preserve"> Towers and Fixtures </t>
  </si>
  <si>
    <t xml:space="preserve"> Poles and Fixtures </t>
  </si>
  <si>
    <t xml:space="preserve"> Overhead Conductor and Devices </t>
  </si>
  <si>
    <t xml:space="preserve"> Underground Conduit </t>
  </si>
  <si>
    <t xml:space="preserve"> Underground Conductor and Devices </t>
  </si>
  <si>
    <t xml:space="preserve"> Roads and Trails </t>
  </si>
  <si>
    <t>3b</t>
  </si>
  <si>
    <t>3c</t>
  </si>
  <si>
    <t>3x</t>
  </si>
  <si>
    <t>Total  (sum line 3-3x)</t>
  </si>
  <si>
    <t>Workpaper 4 -Affiliate Charges</t>
  </si>
  <si>
    <t>Expenses</t>
  </si>
  <si>
    <t>Actuals for Year</t>
  </si>
  <si>
    <t>Department</t>
  </si>
  <si>
    <t>All affilate charges are to listed in the table above by affilate</t>
  </si>
  <si>
    <t>Workpaper 5 - Cost Allocation by Associate Company</t>
  </si>
  <si>
    <t>GridLiance West Transco LLC</t>
  </si>
  <si>
    <t>Name of Associate Company</t>
  </si>
  <si>
    <t>Direct Costs Charged</t>
  </si>
  <si>
    <t>Indirect Costs Charged</t>
  </si>
  <si>
    <t>Compensation For Use of Capital</t>
  </si>
  <si>
    <t>All services rendered by GridLiance Management, LLC to associate companies are to be listed in the table above by associate company</t>
  </si>
  <si>
    <t>Prior Period Adjustment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</si>
</sst>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_(* #,##0_);_(* \(#,##0\);_(* &quot;-&quot;??_);_(@_)"/>
    <numFmt numFmtId="166" formatCode="_(* #,##0.000_);_(* \(#,##0.000\);_(* &quot;-&quot;??_);_(@_)"/>
    <numFmt numFmtId="167" formatCode="_(* #,##0.0000_);_(* \(#,##0.0000\);_(* &quot;-&quot;??_);_(@_)"/>
    <numFmt numFmtId="168" formatCode="0.000%"/>
    <numFmt numFmtId="169" formatCode="#,##0.000"/>
    <numFmt numFmtId="170" formatCode="_(&quot;$&quot;* #,##0_);_(&quot;$&quot;* \(#,##0\);_(&quot;$&quot;* &quot;-&quot;??_);_(@_)"/>
    <numFmt numFmtId="171" formatCode="0.0000%"/>
    <numFmt numFmtId="172" formatCode="0.00000"/>
    <numFmt numFmtId="173" formatCode="_(&quot;$&quot;* #,##0_);_(&quot;$&quot;* \(#,##0\);_(&quot;$&quot;* &quot;-&quot;????_);_(@_)"/>
    <numFmt numFmtId="174" formatCode="_(* #,##0.0000000_);_(* \(#,##0.0000000\);_(* &quot;-&quot;??_);_(@_)"/>
    <numFmt numFmtId="175" formatCode="#,##0.0000"/>
    <numFmt numFmtId="176" formatCode="0.0%"/>
    <numFmt numFmtId="177" formatCode="#,##0.00000"/>
    <numFmt numFmtId="178" formatCode="&quot;$&quot;#,##0"/>
    <numFmt numFmtId="179" formatCode="0.000000%"/>
    <numFmt numFmtId="180" formatCode="_(* #,##0.0_);_(* \(#,##0.0\);_(* &quot;-&quot;??_);_(@_)"/>
    <numFmt numFmtId="181" formatCode="&quot;$&quot;#,##0.000"/>
    <numFmt numFmtId="182" formatCode="0.0000"/>
    <numFmt numFmtId="183" formatCode="0_);\(0\)"/>
  </numFmts>
  <fonts count="80">
    <font>
      <sz val="12"/>
      <name val="Arial MT"/>
      <family val="2"/>
    </font>
    <font>
      <sz val="11"/>
      <color theme="1"/>
      <name val="Calibri"/>
      <family val="2"/>
      <scheme val="minor"/>
    </font>
    <font>
      <sz val="12"/>
      <name val="Arial MT"/>
      <family val="2"/>
    </font>
    <font>
      <b/>
      <sz val="12"/>
      <name val="Arial Narrow"/>
      <family val="2"/>
    </font>
    <font>
      <sz val="12"/>
      <name val="Arial Narrow"/>
      <family val="2"/>
    </font>
    <font>
      <sz val="10"/>
      <name val="Arial"/>
      <family val="2"/>
    </font>
    <font>
      <strike/>
      <sz val="12"/>
      <name val="Arial Narrow"/>
      <family val="2"/>
    </font>
    <font>
      <sz val="12"/>
      <name val="Cambria"/>
      <family val="1"/>
    </font>
    <font>
      <strike/>
      <sz val="12"/>
      <color indexed="10"/>
      <name val="Arial Narrow"/>
      <family val="2"/>
    </font>
    <font>
      <b/>
      <sz val="14"/>
      <name val="Arial Narrow"/>
      <family val="2"/>
    </font>
    <font>
      <sz val="12"/>
      <color theme="1"/>
      <name val="Arial Narrow"/>
      <family val="2"/>
    </font>
    <font>
      <b/>
      <sz val="12"/>
      <color theme="8"/>
      <name val="Arial Narrow"/>
      <family val="2"/>
    </font>
    <font>
      <b/>
      <sz val="12"/>
      <color rgb="FF00B050"/>
      <name val="Arial Narrow"/>
      <family val="2"/>
    </font>
    <font>
      <sz val="12"/>
      <color indexed="12"/>
      <name val="Arial Narrow"/>
      <family val="2"/>
    </font>
    <font>
      <b/>
      <sz val="12"/>
      <name val="Cambria"/>
      <family val="1"/>
    </font>
    <font>
      <b/>
      <u/>
      <sz val="12"/>
      <name val="Arial Narrow"/>
      <family val="2"/>
    </font>
    <font>
      <sz val="12"/>
      <name val="Arial MT"/>
    </font>
    <font>
      <b/>
      <sz val="12"/>
      <color rgb="FF00B0F0"/>
      <name val="Arial Narrow"/>
      <family val="2"/>
    </font>
    <font>
      <b/>
      <sz val="10"/>
      <color rgb="FF00B0F0"/>
      <name val="Times New Roman"/>
      <family val="1"/>
    </font>
    <font>
      <b/>
      <sz val="18"/>
      <color rgb="FF66CCFF"/>
      <name val="Arial Narrow"/>
      <family val="2"/>
    </font>
    <font>
      <sz val="18"/>
      <color rgb="FF66CCFF"/>
      <name val="Arial Narrow"/>
      <family val="2"/>
    </font>
    <font>
      <b/>
      <sz val="18"/>
      <color rgb="FF66CCFF"/>
      <name val="Times New Roman"/>
      <family val="1"/>
    </font>
    <font>
      <sz val="12"/>
      <color indexed="10"/>
      <name val="Arial Narrow"/>
      <family val="2"/>
    </font>
    <font>
      <b/>
      <i/>
      <sz val="12"/>
      <color rgb="FFFF0000"/>
      <name val="Arial MT"/>
    </font>
    <font>
      <sz val="12"/>
      <color rgb="FF66CCFF"/>
      <name val="Arial MT"/>
    </font>
    <font>
      <sz val="10"/>
      <name val="Cambria"/>
      <family val="1"/>
    </font>
    <font>
      <sz val="10"/>
      <name val="Times New Roman"/>
      <family val="1"/>
    </font>
    <font>
      <b/>
      <sz val="12"/>
      <color rgb="FF00B050"/>
      <name val="Arial MT"/>
    </font>
    <font>
      <sz val="14"/>
      <name val="Cambria"/>
      <family val="1"/>
    </font>
    <font>
      <sz val="12"/>
      <name val="Arial"/>
      <family val="2"/>
    </font>
    <font>
      <sz val="10"/>
      <color indexed="10"/>
      <name val="Arial"/>
      <family val="2"/>
    </font>
    <font>
      <u/>
      <sz val="12"/>
      <name val="Arial Narrow"/>
      <family val="2"/>
    </font>
    <font>
      <b/>
      <sz val="14"/>
      <name val="Arial"/>
      <family val="2"/>
    </font>
    <font>
      <b/>
      <sz val="14"/>
      <color theme="0"/>
      <name val="Arial"/>
      <family val="2"/>
    </font>
    <font>
      <sz val="10"/>
      <color theme="0"/>
      <name val="Arial"/>
      <family val="2"/>
    </font>
    <font>
      <b/>
      <sz val="12"/>
      <color indexed="10"/>
      <name val="Arial Narrow"/>
      <family val="2"/>
    </font>
    <font>
      <b/>
      <sz val="10"/>
      <color theme="0"/>
      <name val="Arial"/>
      <family val="2"/>
    </font>
    <font>
      <b/>
      <sz val="10"/>
      <name val="Arial"/>
      <family val="2"/>
    </font>
    <font>
      <sz val="10"/>
      <color rgb="FFFF0000"/>
      <name val="Arial"/>
      <family val="2"/>
    </font>
    <font>
      <sz val="10"/>
      <color theme="1"/>
      <name val="Arial"/>
      <family val="2"/>
    </font>
    <font>
      <b/>
      <sz val="10"/>
      <color rgb="FFFF0000"/>
      <name val="Arial"/>
      <family val="2"/>
    </font>
    <font>
      <sz val="12"/>
      <color theme="0"/>
      <name val="Arial Narrow"/>
      <family val="2"/>
    </font>
    <font>
      <i/>
      <sz val="10"/>
      <color theme="0"/>
      <name val="Arial"/>
      <family val="2"/>
    </font>
    <font>
      <sz val="12"/>
      <color rgb="FF1F497D"/>
      <name val="Arial Narrow"/>
      <family val="2"/>
    </font>
    <font>
      <b/>
      <sz val="12"/>
      <color rgb="FFFF0000"/>
      <name val="Arial Narrow"/>
      <family val="2"/>
    </font>
    <font>
      <sz val="11"/>
      <name val="Times New Roman"/>
      <family val="1"/>
    </font>
    <font>
      <b/>
      <sz val="10"/>
      <name val="Times New Roman"/>
      <family val="1"/>
    </font>
    <font>
      <sz val="10"/>
      <color theme="1"/>
      <name val="Cambria"/>
      <family val="2"/>
    </font>
    <font>
      <sz val="12"/>
      <color rgb="FF0070C0"/>
      <name val="Arial Narrow"/>
      <family val="2"/>
    </font>
    <font>
      <sz val="12"/>
      <color theme="4"/>
      <name val="Arial Narrow"/>
      <family val="2"/>
    </font>
    <font>
      <sz val="12"/>
      <name val="Times New Roman"/>
      <family val="1"/>
    </font>
    <font>
      <b/>
      <sz val="12"/>
      <name val="Times New Roman"/>
      <family val="1"/>
    </font>
    <font>
      <sz val="12"/>
      <color theme="1"/>
      <name val="Times New Roman"/>
      <family val="1"/>
    </font>
    <font>
      <vertAlign val="superscript"/>
      <sz val="12"/>
      <color theme="1"/>
      <name val="Times New Roman"/>
      <family val="1"/>
    </font>
    <font>
      <sz val="14"/>
      <name val="Arial"/>
      <family val="2"/>
    </font>
    <font>
      <b/>
      <sz val="12"/>
      <name val="Arial"/>
      <family val="2"/>
    </font>
    <font>
      <sz val="10"/>
      <name val="Arial Narrow"/>
      <family val="2"/>
    </font>
    <font>
      <b/>
      <sz val="10"/>
      <color rgb="FFFF0000"/>
      <name val="Arial Narrow"/>
      <family val="2"/>
    </font>
    <font>
      <sz val="12"/>
      <color indexed="8"/>
      <name val="Arial Narrow"/>
      <family val="2"/>
    </font>
    <font>
      <sz val="12"/>
      <color theme="0" tint="-0.34995574816125979"/>
      <name val="Arial MT"/>
      <family val="2"/>
    </font>
    <font>
      <sz val="9"/>
      <name val="Helv"/>
      <family val="2"/>
    </font>
    <font>
      <u/>
      <sz val="11"/>
      <name val="Arial"/>
      <family val="2"/>
    </font>
    <font>
      <b/>
      <sz val="12"/>
      <color theme="0" tint="-0.34995574816125979"/>
      <name val="Arial"/>
      <family val="2"/>
    </font>
    <font>
      <sz val="11"/>
      <name val="Arial"/>
      <family val="2"/>
    </font>
    <font>
      <b/>
      <sz val="11"/>
      <name val="Arial"/>
      <family val="2"/>
    </font>
    <font>
      <sz val="11"/>
      <color theme="0" tint="-0.34995574816125979"/>
      <name val="Arial"/>
      <family val="2"/>
    </font>
    <font>
      <sz val="12"/>
      <color rgb="FFFF0000"/>
      <name val="Arial MT"/>
      <family val="2"/>
    </font>
    <font>
      <sz val="11"/>
      <color indexed="8"/>
      <name val="Arial"/>
      <family val="2"/>
    </font>
    <font>
      <sz val="8"/>
      <color theme="1"/>
      <name val="Arial"/>
      <family val="2"/>
    </font>
    <font>
      <b/>
      <sz val="8"/>
      <color theme="1"/>
      <name val="Arial"/>
      <family val="2"/>
    </font>
    <font>
      <b/>
      <sz val="12"/>
      <color theme="1"/>
      <name val="Arial Narrow"/>
      <family val="2"/>
    </font>
    <font>
      <sz val="12"/>
      <color theme="1"/>
      <name val="Arial"/>
      <family val="2"/>
    </font>
    <font>
      <sz val="10"/>
      <color theme="1"/>
      <name val="Calibri"/>
      <family val="2"/>
      <scheme val="minor"/>
    </font>
    <font>
      <b/>
      <sz val="12"/>
      <name val="Arial MT"/>
      <family val="2"/>
    </font>
    <font>
      <sz val="11"/>
      <name val="Arial Narrow"/>
      <family val="2"/>
    </font>
    <font>
      <b/>
      <sz val="11"/>
      <name val="Arial Narrow"/>
      <family val="2"/>
    </font>
    <font>
      <b/>
      <sz val="11"/>
      <color rgb="FFFF0000"/>
      <name val="Arial Narrow"/>
      <family val="2"/>
    </font>
    <font>
      <sz val="12"/>
      <color rgb="FFFF0000"/>
      <name val="Arial Narrow"/>
      <family val="2"/>
    </font>
    <font>
      <vertAlign val="superscript"/>
      <sz val="12"/>
      <name val="Arial Narrow"/>
      <family val="2"/>
    </font>
    <font>
      <strike/>
      <sz val="12"/>
      <color rgb="FFFF0000"/>
      <name val="Arial Narrow"/>
      <family val="2"/>
    </font>
  </fonts>
  <fills count="13">
    <fill>
      <patternFill patternType="none"/>
    </fill>
    <fill>
      <patternFill patternType="gray125"/>
    </fill>
    <fill>
      <patternFill patternType="solid">
        <fgColor rgb="FFFFFF99"/>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rgb="FFFFFFCC"/>
        <bgColor indexed="64"/>
      </patternFill>
    </fill>
    <fill>
      <patternFill patternType="solid">
        <fgColor theme="0"/>
        <bgColor indexed="64"/>
      </patternFill>
    </fill>
    <fill>
      <patternFill patternType="solid">
        <fgColor rgb="FFFF00FF"/>
        <bgColor indexed="64"/>
      </patternFill>
    </fill>
    <fill>
      <patternFill patternType="solid">
        <fgColor rgb="FFFFC000"/>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79995117038483843"/>
        <bgColor indexed="64"/>
      </patternFill>
    </fill>
  </fills>
  <borders count="58">
    <border>
      <left/>
      <right/>
      <top/>
      <bottom/>
      <diagonal/>
    </border>
    <border>
      <left/>
      <right/>
      <top/>
      <bottom style="medium">
        <color auto="1"/>
      </bottom>
      <diagonal/>
    </border>
    <border>
      <left/>
      <right/>
      <top/>
      <bottom style="double">
        <color auto="1"/>
      </bottom>
      <diagonal/>
    </border>
    <border>
      <left/>
      <right/>
      <top/>
      <bottom style="thin">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style="medium">
        <color auto="1"/>
      </right>
      <top/>
      <bottom style="thin">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style="thin">
        <color indexed="22"/>
      </top>
      <bottom style="thin">
        <color auto="1"/>
      </bottom>
      <diagonal/>
    </border>
    <border>
      <left style="thin">
        <color indexed="22"/>
      </left>
      <right style="medium">
        <color auto="1"/>
      </right>
      <top/>
      <bottom/>
      <diagonal/>
    </border>
    <border>
      <left style="medium">
        <color auto="1"/>
      </left>
      <right style="medium">
        <color auto="1"/>
      </right>
      <top style="medium">
        <color auto="1"/>
      </top>
      <bottom style="medium">
        <color auto="1"/>
      </bottom>
      <diagonal/>
    </border>
    <border>
      <left style="thin">
        <color indexed="22"/>
      </left>
      <right/>
      <top style="thin">
        <color indexed="22"/>
      </top>
      <bottom style="thin">
        <color indexed="22"/>
      </bottom>
      <diagonal/>
    </border>
    <border>
      <left style="thin">
        <color indexed="22"/>
      </left>
      <right/>
      <top style="thin">
        <color indexed="22"/>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thin">
        <color auto="1"/>
      </left>
      <right style="medium">
        <color auto="1"/>
      </right>
      <top style="thin">
        <color auto="1"/>
      </top>
      <bottom/>
      <diagonal/>
    </border>
    <border>
      <left style="medium">
        <color auto="1"/>
      </left>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style="medium">
        <color auto="1"/>
      </left>
      <right style="thin">
        <color auto="1"/>
      </right>
      <top style="thin">
        <color auto="1"/>
      </top>
      <bottom/>
      <diagonal/>
    </border>
    <border>
      <left style="medium">
        <color auto="1"/>
      </left>
      <right/>
      <top style="thin">
        <color auto="1"/>
      </top>
      <bottom/>
      <diagonal/>
    </border>
    <border>
      <left/>
      <right style="medium">
        <color auto="1"/>
      </right>
      <top style="thin">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dotted">
        <color auto="1"/>
      </bottom>
      <diagonal/>
    </border>
    <border>
      <left/>
      <right/>
      <top style="dotted">
        <color auto="1"/>
      </top>
      <bottom style="dotted">
        <color auto="1"/>
      </bottom>
      <diagonal/>
    </border>
    <border>
      <left/>
      <right/>
      <top style="dotted">
        <color auto="1"/>
      </top>
      <bottom/>
      <diagonal/>
    </border>
    <border>
      <left/>
      <right/>
      <top/>
      <bottom style="dotted">
        <color auto="1"/>
      </bottom>
      <diagonal/>
    </border>
    <border>
      <left/>
      <right/>
      <top style="dotted">
        <color auto="1"/>
      </top>
      <bottom style="thin">
        <color auto="1"/>
      </bottom>
      <diagonal/>
    </border>
    <border>
      <left/>
      <right/>
      <top style="thin">
        <color auto="1"/>
      </top>
      <bottom style="double">
        <color auto="1"/>
      </bottom>
      <diagonal/>
    </border>
  </borders>
  <cellStyleXfs count="34">
    <xf numFmtId="164" fontId="0" fillId="0" borderId="0" applyProtection="0"/>
    <xf numFmtId="43" fontId="5" fillId="0" borderId="0" applyFont="0" applyFill="0" applyBorder="0" applyAlignment="0" applyProtection="0"/>
    <xf numFmtId="41"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2" fillId="0" borderId="0" applyProtection="0"/>
    <xf numFmtId="0" fontId="16" fillId="0" borderId="0" applyProtection="0"/>
    <xf numFmtId="0" fontId="5"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4" fontId="2" fillId="0" borderId="0" applyProtection="0"/>
    <xf numFmtId="0" fontId="5" fillId="0" borderId="0"/>
    <xf numFmtId="164" fontId="16" fillId="0" borderId="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5" fillId="0" borderId="0"/>
    <xf numFmtId="164" fontId="2" fillId="0" borderId="0" applyProtection="0"/>
    <xf numFmtId="164" fontId="2" fillId="0" borderId="0" applyProtection="0"/>
    <xf numFmtId="0" fontId="1" fillId="0" borderId="0"/>
    <xf numFmtId="43" fontId="47" fillId="0" borderId="0" applyFont="0" applyFill="0" applyBorder="0" applyAlignment="0" applyProtection="0"/>
    <xf numFmtId="0" fontId="5" fillId="0" borderId="0"/>
    <xf numFmtId="0" fontId="5" fillId="0" borderId="0"/>
    <xf numFmtId="164" fontId="2" fillId="0" borderId="0" applyProtection="0"/>
    <xf numFmtId="0" fontId="5" fillId="0" borderId="0"/>
    <xf numFmtId="7" fontId="60" fillId="0" borderId="0"/>
    <xf numFmtId="9" fontId="5"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164" fontId="2" fillId="0" borderId="0" applyProtection="0"/>
    <xf numFmtId="0" fontId="5" fillId="0" borderId="0"/>
  </cellStyleXfs>
  <cellXfs count="1117">
    <xf numFmtId="164" fontId="0" fillId="0" borderId="0" xfId="0"/>
    <xf numFmtId="164" fontId="3" fillId="0" borderId="0" xfId="0" applyFont="1" applyAlignment="1">
      <alignment horizontal="center"/>
    </xf>
    <xf numFmtId="164" fontId="4" fillId="0" borderId="0" xfId="0" applyFont="1"/>
    <xf numFmtId="0" fontId="4" fillId="0" borderId="0" xfId="0" applyNumberFormat="1" applyFont="1" applyAlignment="1">
      <alignment horizontal="center"/>
    </xf>
    <xf numFmtId="43" fontId="0" fillId="0" borderId="0" xfId="1" applyFont="1" applyAlignment="1"/>
    <xf numFmtId="164" fontId="6" fillId="0" borderId="0" xfId="0" applyFont="1"/>
    <xf numFmtId="0" fontId="6" fillId="0" borderId="0" xfId="0" applyNumberFormat="1" applyFont="1" applyAlignment="1">
      <alignment horizontal="center"/>
    </xf>
    <xf numFmtId="0" fontId="4" fillId="0" borderId="0" xfId="1" applyNumberFormat="1" applyFont="1" applyAlignment="1">
      <alignment horizontal="center"/>
    </xf>
    <xf numFmtId="164" fontId="4" fillId="0" borderId="0" xfId="0" applyFont="1" applyAlignment="1">
      <alignment horizontal="center"/>
    </xf>
    <xf numFmtId="0" fontId="4" fillId="0" borderId="0" xfId="5" applyFont="1"/>
    <xf numFmtId="0" fontId="4" fillId="0" borderId="0" xfId="5" applyFont="1" applyProtection="1">
      <protection locked="0"/>
    </xf>
    <xf numFmtId="0" fontId="4" fillId="0" borderId="0" xfId="5" applyFont="1" applyAlignment="1" applyProtection="1">
      <alignment horizontal="left"/>
      <protection locked="0"/>
    </xf>
    <xf numFmtId="0" fontId="4" fillId="0" borderId="0" xfId="5" applyFont="1" applyAlignment="1" applyProtection="1">
      <alignment horizontal="right"/>
      <protection locked="0"/>
    </xf>
    <xf numFmtId="0" fontId="7" fillId="0" borderId="0" xfId="5" applyFont="1" applyAlignment="1" applyProtection="1">
      <alignment horizontal="right"/>
      <protection locked="0"/>
    </xf>
    <xf numFmtId="0" fontId="7" fillId="0" borderId="0" xfId="5" applyFont="1"/>
    <xf numFmtId="0" fontId="0" fillId="0" borderId="0" xfId="5" applyFont="1"/>
    <xf numFmtId="0" fontId="2" fillId="0" borderId="0" xfId="5"/>
    <xf numFmtId="0" fontId="7" fillId="0" borderId="0" xfId="5" applyFont="1" applyAlignment="1">
      <alignment horizontal="right"/>
    </xf>
    <xf numFmtId="0" fontId="4" fillId="0" borderId="0" xfId="5" quotePrefix="1" applyFont="1" applyAlignment="1" applyProtection="1">
      <alignment horizontal="left"/>
      <protection locked="0"/>
    </xf>
    <xf numFmtId="0" fontId="4" fillId="0" borderId="0" xfId="5" quotePrefix="1" applyFont="1" applyAlignment="1" applyProtection="1">
      <alignment horizontal="center"/>
      <protection locked="0"/>
    </xf>
    <xf numFmtId="165" fontId="7" fillId="0" borderId="0" xfId="5" applyNumberFormat="1" applyFont="1"/>
    <xf numFmtId="3" fontId="4" fillId="0" borderId="0" xfId="5" applyNumberFormat="1" applyFont="1"/>
    <xf numFmtId="3" fontId="4" fillId="0" borderId="0" xfId="5" applyNumberFormat="1" applyFont="1" applyAlignment="1">
      <alignment horizontal="center"/>
    </xf>
    <xf numFmtId="0" fontId="4" fillId="2" borderId="0" xfId="5" applyFont="1" applyFill="1" applyProtection="1">
      <protection locked="0"/>
    </xf>
    <xf numFmtId="0" fontId="7" fillId="2" borderId="0" xfId="5" applyFont="1" applyFill="1"/>
    <xf numFmtId="0" fontId="7" fillId="2" borderId="0" xfId="5" applyFont="1" applyFill="1" applyAlignment="1">
      <alignment horizontal="right"/>
    </xf>
    <xf numFmtId="0" fontId="7" fillId="0" borderId="0" xfId="5" applyFont="1" applyAlignment="1">
      <alignment horizontal="center"/>
    </xf>
    <xf numFmtId="164" fontId="9" fillId="0" borderId="0" xfId="0" applyFont="1" applyAlignment="1">
      <alignment horizontal="center"/>
    </xf>
    <xf numFmtId="0" fontId="7" fillId="3" borderId="0" xfId="5" applyFont="1" applyFill="1" applyAlignment="1">
      <alignment horizontal="left"/>
    </xf>
    <xf numFmtId="0" fontId="7" fillId="3" borderId="0" xfId="5" applyFont="1" applyFill="1"/>
    <xf numFmtId="0" fontId="7" fillId="3" borderId="0" xfId="5" quotePrefix="1" applyFont="1" applyFill="1" applyAlignment="1" applyProtection="1">
      <alignment horizontal="right"/>
      <protection locked="0"/>
    </xf>
    <xf numFmtId="14" fontId="7" fillId="0" borderId="0" xfId="5" applyNumberFormat="1" applyFont="1" applyAlignment="1">
      <alignment horizontal="center"/>
    </xf>
    <xf numFmtId="0" fontId="4" fillId="0" borderId="0" xfId="5" applyFont="1" applyAlignment="1" applyProtection="1">
      <alignment horizontal="center"/>
      <protection locked="0"/>
    </xf>
    <xf numFmtId="49" fontId="4" fillId="0" borderId="0" xfId="5" applyNumberFormat="1" applyFont="1"/>
    <xf numFmtId="43" fontId="7" fillId="0" borderId="0" xfId="1" applyFont="1"/>
    <xf numFmtId="49" fontId="4" fillId="0" borderId="0" xfId="5" quotePrefix="1" applyNumberFormat="1" applyFont="1" applyAlignment="1">
      <alignment horizontal="center"/>
    </xf>
    <xf numFmtId="49" fontId="7" fillId="0" borderId="0" xfId="5" quotePrefix="1" applyNumberFormat="1" applyFont="1" applyAlignment="1">
      <alignment horizontal="center"/>
    </xf>
    <xf numFmtId="0" fontId="7" fillId="0" borderId="0" xfId="5" applyFont="1" applyAlignment="1" applyProtection="1">
      <alignment horizontal="center"/>
      <protection locked="0"/>
    </xf>
    <xf numFmtId="0" fontId="4" fillId="0" borderId="1" xfId="5" applyFont="1" applyBorder="1" applyAlignment="1" applyProtection="1">
      <alignment horizontal="center"/>
      <protection locked="0"/>
    </xf>
    <xf numFmtId="0" fontId="10" fillId="0" borderId="0" xfId="5" applyFont="1"/>
    <xf numFmtId="42" fontId="4" fillId="0" borderId="0" xfId="5" applyNumberFormat="1" applyFont="1"/>
    <xf numFmtId="42" fontId="7" fillId="0" borderId="0" xfId="5" applyNumberFormat="1" applyFont="1"/>
    <xf numFmtId="165" fontId="4" fillId="0" borderId="0" xfId="1" applyNumberFormat="1" applyFont="1" applyFill="1"/>
    <xf numFmtId="165" fontId="4" fillId="0" borderId="0" xfId="1" applyNumberFormat="1" applyFont="1"/>
    <xf numFmtId="0" fontId="4" fillId="0" borderId="1" xfId="5" applyFont="1" applyBorder="1" applyAlignment="1" applyProtection="1">
      <alignment horizontal="centerContinuous"/>
      <protection locked="0"/>
    </xf>
    <xf numFmtId="165" fontId="4" fillId="0" borderId="0" xfId="1" applyNumberFormat="1" applyFont="1" applyFill="1" applyAlignment="1"/>
    <xf numFmtId="166" fontId="4" fillId="0" borderId="0" xfId="1" applyNumberFormat="1" applyFont="1" applyAlignment="1"/>
    <xf numFmtId="3" fontId="7" fillId="0" borderId="0" xfId="5" applyNumberFormat="1" applyFont="1" applyAlignment="1">
      <alignment horizontal="right"/>
    </xf>
    <xf numFmtId="0" fontId="4" fillId="0" borderId="0" xfId="5" applyFont="1" applyAlignment="1">
      <alignment horizontal="left" wrapText="1"/>
    </xf>
    <xf numFmtId="165" fontId="4" fillId="2" borderId="0" xfId="1" applyNumberFormat="1" applyFont="1" applyFill="1" applyAlignment="1"/>
    <xf numFmtId="166" fontId="4" fillId="0" borderId="0" xfId="5" applyNumberFormat="1" applyFont="1"/>
    <xf numFmtId="165" fontId="4" fillId="0" borderId="0" xfId="1" applyNumberFormat="1" applyFont="1" applyAlignment="1"/>
    <xf numFmtId="42" fontId="4" fillId="0" borderId="2" xfId="5" applyNumberFormat="1" applyFont="1" applyBorder="1" applyAlignment="1" applyProtection="1">
      <alignment horizontal="right"/>
      <protection locked="0"/>
    </xf>
    <xf numFmtId="42" fontId="7" fillId="0" borderId="0" xfId="5" applyNumberFormat="1" applyFont="1" applyAlignment="1" applyProtection="1">
      <alignment horizontal="right"/>
      <protection locked="0"/>
    </xf>
    <xf numFmtId="3" fontId="4" fillId="0" borderId="0" xfId="5" applyNumberFormat="1" applyFont="1" applyAlignment="1">
      <alignment horizontal="fill"/>
    </xf>
    <xf numFmtId="0" fontId="4" fillId="0" borderId="0" xfId="5" applyFont="1" applyAlignment="1">
      <alignment horizontal="right"/>
    </xf>
    <xf numFmtId="0" fontId="7" fillId="2" borderId="0" xfId="5" quotePrefix="1" applyFont="1" applyFill="1" applyAlignment="1" applyProtection="1">
      <alignment horizontal="right"/>
      <protection locked="0"/>
    </xf>
    <xf numFmtId="3" fontId="7" fillId="0" borderId="0" xfId="5" applyNumberFormat="1" applyFont="1"/>
    <xf numFmtId="0" fontId="4" fillId="0" borderId="0" xfId="5" applyFont="1" applyAlignment="1">
      <alignment horizontal="center"/>
    </xf>
    <xf numFmtId="49" fontId="4" fillId="0" borderId="0" xfId="5" applyNumberFormat="1" applyFont="1" applyAlignment="1">
      <alignment horizontal="left"/>
    </xf>
    <xf numFmtId="49" fontId="4" fillId="0" borderId="0" xfId="5" applyNumberFormat="1" applyFont="1" applyAlignment="1">
      <alignment horizontal="center"/>
    </xf>
    <xf numFmtId="3" fontId="3" fillId="0" borderId="0" xfId="5" applyNumberFormat="1" applyFont="1" applyAlignment="1">
      <alignment horizontal="center"/>
    </xf>
    <xf numFmtId="0" fontId="3" fillId="0" borderId="0" xfId="5" applyFont="1" applyAlignment="1" applyProtection="1">
      <alignment horizontal="center"/>
      <protection locked="0"/>
    </xf>
    <xf numFmtId="0" fontId="3" fillId="0" borderId="0" xfId="5" applyFont="1" applyAlignment="1">
      <alignment horizontal="center"/>
    </xf>
    <xf numFmtId="3" fontId="3" fillId="0" borderId="0" xfId="5" applyNumberFormat="1" applyFont="1"/>
    <xf numFmtId="0" fontId="3" fillId="0" borderId="0" xfId="5" applyFont="1"/>
    <xf numFmtId="167" fontId="4" fillId="0" borderId="0" xfId="1" applyNumberFormat="1" applyFont="1" applyAlignment="1"/>
    <xf numFmtId="3" fontId="7" fillId="0" borderId="0" xfId="5" quotePrefix="1" applyNumberFormat="1" applyFont="1" applyAlignment="1">
      <alignment horizontal="right"/>
    </xf>
    <xf numFmtId="0" fontId="4" fillId="0" borderId="3" xfId="5" applyFont="1" applyBorder="1"/>
    <xf numFmtId="3" fontId="4" fillId="0" borderId="3" xfId="5" applyNumberFormat="1" applyFont="1" applyBorder="1"/>
    <xf numFmtId="165" fontId="4" fillId="0" borderId="3" xfId="1" applyNumberFormat="1" applyFont="1" applyFill="1" applyBorder="1" applyAlignment="1"/>
    <xf numFmtId="167" fontId="4" fillId="0" borderId="3" xfId="1" applyNumberFormat="1" applyFont="1" applyBorder="1" applyAlignment="1"/>
    <xf numFmtId="165" fontId="4" fillId="0" borderId="3" xfId="1" applyNumberFormat="1" applyFont="1" applyBorder="1" applyAlignment="1"/>
    <xf numFmtId="167" fontId="4" fillId="0" borderId="0" xfId="1" applyNumberFormat="1" applyFont="1" applyFill="1" applyAlignment="1">
      <alignment horizontal="center"/>
    </xf>
    <xf numFmtId="167" fontId="4" fillId="0" borderId="0" xfId="1" applyNumberFormat="1" applyFont="1" applyAlignment="1">
      <alignment horizontal="center"/>
    </xf>
    <xf numFmtId="168" fontId="7" fillId="0" borderId="0" xfId="5" applyNumberFormat="1" applyFont="1" applyAlignment="1">
      <alignment horizontal="center"/>
    </xf>
    <xf numFmtId="167" fontId="4" fillId="0" borderId="3" xfId="1" applyNumberFormat="1" applyFont="1" applyBorder="1" applyAlignment="1">
      <alignment horizontal="center"/>
    </xf>
    <xf numFmtId="167" fontId="4" fillId="0" borderId="0" xfId="1" applyNumberFormat="1" applyFont="1" applyFill="1" applyAlignment="1"/>
    <xf numFmtId="3" fontId="11" fillId="0" borderId="0" xfId="5" applyNumberFormat="1" applyFont="1"/>
    <xf numFmtId="3" fontId="12" fillId="0" borderId="0" xfId="5" applyNumberFormat="1" applyFont="1"/>
    <xf numFmtId="165" fontId="4" fillId="0" borderId="0" xfId="1" applyNumberFormat="1" applyFont="1" applyFill="1" applyBorder="1" applyAlignment="1"/>
    <xf numFmtId="167" fontId="4" fillId="0" borderId="0" xfId="1" applyNumberFormat="1" applyFont="1" applyFill="1" applyBorder="1" applyAlignment="1"/>
    <xf numFmtId="165" fontId="4" fillId="0" borderId="0" xfId="1" applyNumberFormat="1" applyFont="1" applyBorder="1" applyAlignment="1"/>
    <xf numFmtId="0" fontId="4" fillId="0" borderId="0" xfId="5" quotePrefix="1" applyFont="1" applyAlignment="1">
      <alignment horizontal="left"/>
    </xf>
    <xf numFmtId="3" fontId="7" fillId="0" borderId="0" xfId="5" applyNumberFormat="1" applyFont="1" applyAlignment="1">
      <alignment horizontal="center"/>
    </xf>
    <xf numFmtId="167" fontId="4" fillId="0" borderId="3" xfId="1" applyNumberFormat="1" applyFont="1" applyFill="1" applyBorder="1" applyAlignment="1"/>
    <xf numFmtId="165" fontId="4" fillId="0" borderId="1" xfId="1" applyNumberFormat="1" applyFont="1" applyFill="1" applyBorder="1" applyAlignment="1"/>
    <xf numFmtId="165" fontId="4" fillId="0" borderId="1" xfId="1" applyNumberFormat="1" applyFont="1" applyBorder="1" applyAlignment="1"/>
    <xf numFmtId="165" fontId="4" fillId="0" borderId="2" xfId="1" applyNumberFormat="1" applyFont="1" applyBorder="1" applyAlignment="1"/>
    <xf numFmtId="168" fontId="4" fillId="0" borderId="0" xfId="5" applyNumberFormat="1" applyFont="1" applyAlignment="1">
      <alignment horizontal="center"/>
    </xf>
    <xf numFmtId="0" fontId="4" fillId="0" borderId="0" xfId="5" applyFont="1" applyAlignment="1">
      <alignment horizontal="left"/>
    </xf>
    <xf numFmtId="169" fontId="4" fillId="0" borderId="0" xfId="5" applyNumberFormat="1" applyFont="1"/>
    <xf numFmtId="0" fontId="13" fillId="0" borderId="0" xfId="5" quotePrefix="1" applyFont="1" applyAlignment="1">
      <alignment horizontal="left"/>
    </xf>
    <xf numFmtId="165" fontId="4" fillId="0" borderId="0" xfId="1" applyNumberFormat="1" applyFont="1" applyAlignment="1" applyProtection="1">
      <protection locked="0"/>
    </xf>
    <xf numFmtId="165" fontId="4" fillId="0" borderId="0" xfId="1" applyNumberFormat="1" applyFont="1" applyAlignment="1" applyProtection="1">
      <alignment horizontal="right"/>
      <protection locked="0"/>
    </xf>
    <xf numFmtId="165" fontId="4" fillId="0" borderId="0" xfId="1" applyNumberFormat="1" applyFont="1" applyAlignment="1">
      <alignment horizontal="right"/>
    </xf>
    <xf numFmtId="165" fontId="4" fillId="0" borderId="0" xfId="1" applyNumberFormat="1" applyFont="1" applyProtection="1">
      <protection locked="0"/>
    </xf>
    <xf numFmtId="165" fontId="4" fillId="0" borderId="0" xfId="1" applyNumberFormat="1" applyFont="1" applyAlignment="1">
      <alignment horizontal="center"/>
    </xf>
    <xf numFmtId="0" fontId="7" fillId="0" borderId="0" xfId="5" applyFont="1" applyProtection="1">
      <protection locked="0"/>
    </xf>
    <xf numFmtId="0" fontId="14" fillId="0" borderId="0" xfId="5" applyFont="1" applyAlignment="1" applyProtection="1">
      <alignment horizontal="center"/>
      <protection locked="0"/>
    </xf>
    <xf numFmtId="165" fontId="3" fillId="0" borderId="0" xfId="1" applyNumberFormat="1" applyFont="1" applyAlignment="1" applyProtection="1">
      <alignment horizontal="center"/>
      <protection locked="0"/>
    </xf>
    <xf numFmtId="165" fontId="4" fillId="0" borderId="0" xfId="1" applyNumberFormat="1" applyFont="1" applyAlignment="1" applyProtection="1">
      <alignment horizontal="center"/>
      <protection locked="0"/>
    </xf>
    <xf numFmtId="0" fontId="15" fillId="0" borderId="0" xfId="5" applyFont="1" applyAlignment="1">
      <alignment horizontal="center"/>
    </xf>
    <xf numFmtId="3" fontId="15" fillId="0" borderId="0" xfId="5" applyNumberFormat="1" applyFont="1"/>
    <xf numFmtId="9" fontId="7" fillId="0" borderId="0" xfId="4" applyFont="1" applyBorder="1" applyAlignment="1"/>
    <xf numFmtId="9" fontId="7" fillId="0" borderId="0" xfId="5" applyNumberFormat="1" applyFont="1"/>
    <xf numFmtId="3" fontId="17" fillId="0" borderId="0" xfId="6" applyNumberFormat="1" applyFont="1"/>
    <xf numFmtId="3" fontId="4" fillId="0" borderId="0" xfId="6" applyNumberFormat="1" applyFont="1"/>
    <xf numFmtId="0" fontId="18" fillId="0" borderId="0" xfId="7" applyFont="1"/>
    <xf numFmtId="170" fontId="18" fillId="0" borderId="0" xfId="7" applyNumberFormat="1" applyFont="1"/>
    <xf numFmtId="167" fontId="18" fillId="0" borderId="0" xfId="7" applyNumberFormat="1" applyFont="1"/>
    <xf numFmtId="3" fontId="19" fillId="0" borderId="0" xfId="6" applyNumberFormat="1" applyFont="1"/>
    <xf numFmtId="3" fontId="20" fillId="0" borderId="0" xfId="6" applyNumberFormat="1" applyFont="1"/>
    <xf numFmtId="0" fontId="18" fillId="0" borderId="0" xfId="7" applyFont="1" applyAlignment="1">
      <alignment horizontal="right"/>
    </xf>
    <xf numFmtId="0" fontId="21" fillId="0" borderId="0" xfId="7" applyFont="1"/>
    <xf numFmtId="170" fontId="21" fillId="0" borderId="0" xfId="7" applyNumberFormat="1" applyFont="1"/>
    <xf numFmtId="3" fontId="4" fillId="0" borderId="0" xfId="0" applyNumberFormat="1" applyFont="1"/>
    <xf numFmtId="171" fontId="18" fillId="0" borderId="0" xfId="7" applyNumberFormat="1" applyFont="1"/>
    <xf numFmtId="167" fontId="21" fillId="0" borderId="0" xfId="7" applyNumberFormat="1" applyFont="1"/>
    <xf numFmtId="3" fontId="22" fillId="0" borderId="0" xfId="0" applyNumberFormat="1" applyFont="1"/>
    <xf numFmtId="165" fontId="18" fillId="0" borderId="0" xfId="8" applyNumberFormat="1" applyFont="1" applyFill="1" applyBorder="1"/>
    <xf numFmtId="165" fontId="18" fillId="0" borderId="0" xfId="1" applyNumberFormat="1" applyFont="1" applyFill="1" applyBorder="1"/>
    <xf numFmtId="0" fontId="21" fillId="0" borderId="0" xfId="7" applyFont="1" applyAlignment="1">
      <alignment horizontal="right"/>
    </xf>
    <xf numFmtId="3" fontId="4" fillId="0" borderId="3" xfId="0" applyNumberFormat="1" applyFont="1" applyBorder="1"/>
    <xf numFmtId="165" fontId="4" fillId="2" borderId="3" xfId="1" applyNumberFormat="1" applyFont="1" applyFill="1" applyBorder="1" applyAlignment="1"/>
    <xf numFmtId="165" fontId="18" fillId="0" borderId="0" xfId="7" applyNumberFormat="1" applyFont="1"/>
    <xf numFmtId="171" fontId="21" fillId="0" borderId="0" xfId="7" applyNumberFormat="1" applyFont="1"/>
    <xf numFmtId="165" fontId="21" fillId="0" borderId="0" xfId="8" applyNumberFormat="1" applyFont="1" applyFill="1" applyBorder="1"/>
    <xf numFmtId="168" fontId="4" fillId="0" borderId="0" xfId="5" applyNumberFormat="1" applyFont="1" applyAlignment="1">
      <alignment horizontal="left"/>
    </xf>
    <xf numFmtId="167" fontId="4" fillId="0" borderId="0" xfId="1" applyNumberFormat="1" applyFont="1" applyFill="1" applyAlignment="1">
      <alignment horizontal="right"/>
    </xf>
    <xf numFmtId="172" fontId="4" fillId="0" borderId="0" xfId="5" applyNumberFormat="1" applyFont="1" applyAlignment="1">
      <alignment horizontal="center"/>
    </xf>
    <xf numFmtId="165" fontId="21" fillId="0" borderId="0" xfId="7" applyNumberFormat="1" applyFont="1"/>
    <xf numFmtId="173" fontId="18" fillId="0" borderId="0" xfId="7" applyNumberFormat="1" applyFont="1"/>
    <xf numFmtId="43" fontId="4" fillId="0" borderId="0" xfId="5" applyNumberFormat="1" applyFont="1"/>
    <xf numFmtId="41" fontId="18" fillId="0" borderId="0" xfId="7" applyNumberFormat="1" applyFont="1" applyAlignment="1">
      <alignment horizontal="center"/>
    </xf>
    <xf numFmtId="42" fontId="18" fillId="0" borderId="0" xfId="7" applyNumberFormat="1" applyFont="1"/>
    <xf numFmtId="10" fontId="4" fillId="0" borderId="0" xfId="5" applyNumberFormat="1" applyFont="1" applyAlignment="1">
      <alignment horizontal="left"/>
    </xf>
    <xf numFmtId="172" fontId="4" fillId="0" borderId="0" xfId="5" applyNumberFormat="1" applyFont="1"/>
    <xf numFmtId="167" fontId="18" fillId="0" borderId="0" xfId="9" applyNumberFormat="1" applyFont="1" applyFill="1" applyBorder="1"/>
    <xf numFmtId="173" fontId="21" fillId="0" borderId="0" xfId="7" applyNumberFormat="1" applyFont="1"/>
    <xf numFmtId="174" fontId="18" fillId="0" borderId="0" xfId="7" applyNumberFormat="1" applyFont="1"/>
    <xf numFmtId="41" fontId="21" fillId="0" borderId="0" xfId="7" applyNumberFormat="1" applyFont="1" applyAlignment="1">
      <alignment horizontal="center"/>
    </xf>
    <xf numFmtId="42" fontId="21" fillId="0" borderId="0" xfId="7" applyNumberFormat="1" applyFont="1"/>
    <xf numFmtId="10" fontId="4" fillId="0" borderId="3" xfId="5" applyNumberFormat="1" applyFont="1" applyBorder="1" applyAlignment="1">
      <alignment horizontal="left"/>
    </xf>
    <xf numFmtId="3" fontId="11" fillId="0" borderId="3" xfId="5" applyNumberFormat="1" applyFont="1" applyBorder="1"/>
    <xf numFmtId="168" fontId="4" fillId="0" borderId="0" xfId="5" applyNumberFormat="1" applyFont="1" applyAlignment="1" applyProtection="1">
      <alignment horizontal="left"/>
      <protection locked="0"/>
    </xf>
    <xf numFmtId="165" fontId="4" fillId="0" borderId="0" xfId="1" applyNumberFormat="1" applyFont="1" applyFill="1" applyAlignment="1">
      <alignment horizontal="right"/>
    </xf>
    <xf numFmtId="175" fontId="7" fillId="0" borderId="0" xfId="5" applyNumberFormat="1" applyFont="1"/>
    <xf numFmtId="41" fontId="21" fillId="0" borderId="0" xfId="7" applyNumberFormat="1" applyFont="1" applyAlignment="1">
      <alignment horizontal="right"/>
    </xf>
    <xf numFmtId="175" fontId="4" fillId="0" borderId="0" xfId="5" applyNumberFormat="1" applyFont="1"/>
    <xf numFmtId="167" fontId="21" fillId="0" borderId="0" xfId="10" applyNumberFormat="1" applyFont="1" applyBorder="1"/>
    <xf numFmtId="174" fontId="21" fillId="0" borderId="0" xfId="7" applyNumberFormat="1" applyFont="1" applyAlignment="1">
      <alignment horizontal="right"/>
    </xf>
    <xf numFmtId="0" fontId="23" fillId="0" borderId="0" xfId="6" applyFont="1" applyAlignment="1">
      <alignment horizontal="right"/>
    </xf>
    <xf numFmtId="170" fontId="24" fillId="0" borderId="0" xfId="6" applyNumberFormat="1" applyFont="1"/>
    <xf numFmtId="0" fontId="4" fillId="0" borderId="0" xfId="5" applyFont="1" applyAlignment="1">
      <alignment vertical="top" wrapText="1"/>
    </xf>
    <xf numFmtId="9" fontId="4" fillId="0" borderId="0" xfId="4" applyFont="1" applyAlignment="1"/>
    <xf numFmtId="10" fontId="7" fillId="0" borderId="0" xfId="4" applyNumberFormat="1" applyFont="1" applyBorder="1" applyAlignment="1"/>
    <xf numFmtId="43" fontId="4" fillId="0" borderId="0" xfId="1" applyFont="1" applyAlignment="1"/>
    <xf numFmtId="3" fontId="12" fillId="0" borderId="0" xfId="6" applyNumberFormat="1" applyFont="1" applyAlignment="1">
      <alignment horizontal="right"/>
    </xf>
    <xf numFmtId="3" fontId="12" fillId="0" borderId="0" xfId="6" applyNumberFormat="1" applyFont="1"/>
    <xf numFmtId="3" fontId="16" fillId="0" borderId="0" xfId="6" applyNumberFormat="1"/>
    <xf numFmtId="0" fontId="25" fillId="0" borderId="0" xfId="5" applyFont="1"/>
    <xf numFmtId="167" fontId="4" fillId="0" borderId="0" xfId="5" applyNumberFormat="1" applyFont="1"/>
    <xf numFmtId="176" fontId="12" fillId="0" borderId="0" xfId="4" applyNumberFormat="1" applyFont="1" applyBorder="1" applyAlignment="1"/>
    <xf numFmtId="0" fontId="4" fillId="0" borderId="0" xfId="11" applyNumberFormat="1" applyFont="1" applyAlignment="1" applyProtection="1">
      <alignment horizontal="center"/>
      <protection locked="0"/>
    </xf>
    <xf numFmtId="0" fontId="4" fillId="0" borderId="0" xfId="12" applyFont="1" applyAlignment="1">
      <alignment horizontal="center"/>
    </xf>
    <xf numFmtId="3" fontId="4" fillId="0" borderId="0" xfId="11" applyNumberFormat="1" applyFont="1" applyAlignment="1">
      <alignment horizontal="center"/>
    </xf>
    <xf numFmtId="0" fontId="4" fillId="0" borderId="0" xfId="12" applyFont="1"/>
    <xf numFmtId="0" fontId="4" fillId="0" borderId="0" xfId="11" applyNumberFormat="1" applyFont="1" applyAlignment="1" applyProtection="1">
      <alignment horizontal="center" wrapText="1"/>
      <protection locked="0"/>
    </xf>
    <xf numFmtId="3" fontId="4" fillId="0" borderId="0" xfId="11" applyNumberFormat="1" applyFont="1"/>
    <xf numFmtId="167" fontId="12" fillId="0" borderId="0" xfId="4" applyNumberFormat="1" applyFont="1" applyBorder="1" applyAlignment="1"/>
    <xf numFmtId="10" fontId="4" fillId="0" borderId="0" xfId="4" applyNumberFormat="1" applyFont="1" applyFill="1" applyAlignment="1" applyProtection="1">
      <alignment horizontal="center"/>
      <protection locked="0"/>
    </xf>
    <xf numFmtId="165" fontId="4" fillId="0" borderId="0" xfId="1" applyNumberFormat="1" applyFont="1" applyFill="1" applyAlignment="1" applyProtection="1">
      <alignment horizontal="center"/>
      <protection locked="0"/>
    </xf>
    <xf numFmtId="41" fontId="12" fillId="0" borderId="0" xfId="6" applyNumberFormat="1" applyFont="1"/>
    <xf numFmtId="165" fontId="4" fillId="0" borderId="0" xfId="1" applyNumberFormat="1" applyFont="1" applyFill="1" applyAlignment="1">
      <alignment horizontal="center"/>
    </xf>
    <xf numFmtId="0" fontId="26" fillId="0" borderId="0" xfId="11" applyNumberFormat="1" applyFont="1" applyAlignment="1" applyProtection="1">
      <alignment horizontal="center"/>
      <protection locked="0"/>
    </xf>
    <xf numFmtId="164" fontId="26" fillId="0" borderId="0" xfId="0" applyFont="1"/>
    <xf numFmtId="3" fontId="26" fillId="0" borderId="0" xfId="11" applyNumberFormat="1" applyFont="1"/>
    <xf numFmtId="0" fontId="27" fillId="0" borderId="0" xfId="6" applyFont="1"/>
    <xf numFmtId="43" fontId="4" fillId="0" borderId="0" xfId="5" applyNumberFormat="1" applyFont="1" applyAlignment="1" applyProtection="1">
      <alignment horizontal="left"/>
      <protection locked="0"/>
    </xf>
    <xf numFmtId="164" fontId="16" fillId="0" borderId="0" xfId="13"/>
    <xf numFmtId="0" fontId="4" fillId="0" borderId="0" xfId="6" applyFont="1"/>
    <xf numFmtId="3" fontId="4" fillId="0" borderId="0" xfId="5" applyNumberFormat="1" applyFont="1" applyAlignment="1">
      <alignment horizontal="right"/>
    </xf>
    <xf numFmtId="0" fontId="4" fillId="0" borderId="1" xfId="5" applyFont="1" applyBorder="1" applyProtection="1">
      <protection locked="0"/>
    </xf>
    <xf numFmtId="0" fontId="4" fillId="0" borderId="1" xfId="5" applyFont="1" applyBorder="1"/>
    <xf numFmtId="3" fontId="4" fillId="0" borderId="1" xfId="5" applyNumberFormat="1" applyFont="1" applyBorder="1"/>
    <xf numFmtId="177" fontId="7" fillId="0" borderId="0" xfId="5" applyNumberFormat="1" applyFont="1" applyAlignment="1">
      <alignment horizontal="right"/>
    </xf>
    <xf numFmtId="3" fontId="4" fillId="0" borderId="1" xfId="5" applyNumberFormat="1" applyFont="1" applyBorder="1" applyAlignment="1">
      <alignment horizontal="center"/>
    </xf>
    <xf numFmtId="43" fontId="4" fillId="2" borderId="0" xfId="1" applyFont="1" applyFill="1" applyAlignment="1"/>
    <xf numFmtId="43" fontId="4" fillId="0" borderId="0" xfId="1" applyFont="1" applyFill="1" applyAlignment="1"/>
    <xf numFmtId="0" fontId="7" fillId="0" borderId="0" xfId="5" quotePrefix="1" applyFont="1" applyAlignment="1">
      <alignment horizontal="left"/>
    </xf>
    <xf numFmtId="43" fontId="4" fillId="0" borderId="1" xfId="1" applyFont="1" applyFill="1" applyBorder="1" applyAlignment="1"/>
    <xf numFmtId="4" fontId="4" fillId="0" borderId="0" xfId="5" applyNumberFormat="1" applyFont="1"/>
    <xf numFmtId="43" fontId="4" fillId="0" borderId="1" xfId="1" applyFont="1" applyBorder="1" applyAlignment="1"/>
    <xf numFmtId="43" fontId="4" fillId="0" borderId="0" xfId="1" quotePrefix="1" applyFont="1" applyFill="1" applyAlignment="1">
      <alignment horizontal="right"/>
    </xf>
    <xf numFmtId="10" fontId="4" fillId="0" borderId="0" xfId="4" applyNumberFormat="1" applyFont="1" applyFill="1" applyAlignment="1"/>
    <xf numFmtId="3" fontId="7" fillId="0" borderId="0" xfId="5" quotePrefix="1" applyNumberFormat="1" applyFont="1"/>
    <xf numFmtId="43" fontId="4" fillId="0" borderId="1" xfId="1" quotePrefix="1" applyFont="1" applyBorder="1" applyAlignment="1">
      <alignment horizontal="right"/>
    </xf>
    <xf numFmtId="10" fontId="4" fillId="0" borderId="0" xfId="5" applyNumberFormat="1" applyFont="1"/>
    <xf numFmtId="176" fontId="4" fillId="0" borderId="0" xfId="4" applyNumberFormat="1" applyFont="1" applyFill="1" applyAlignment="1"/>
    <xf numFmtId="166" fontId="4" fillId="0" borderId="1" xfId="1" applyNumberFormat="1" applyFont="1" applyBorder="1" applyAlignment="1"/>
    <xf numFmtId="49" fontId="7" fillId="0" borderId="0" xfId="1" applyNumberFormat="1" applyFont="1" applyFill="1" applyAlignment="1">
      <alignment horizontal="center"/>
    </xf>
    <xf numFmtId="165" fontId="4" fillId="0" borderId="0" xfId="5" applyNumberFormat="1" applyFont="1"/>
    <xf numFmtId="165" fontId="4" fillId="0" borderId="3" xfId="5" applyNumberFormat="1" applyFont="1" applyBorder="1"/>
    <xf numFmtId="164" fontId="4" fillId="0" borderId="0" xfId="5" applyNumberFormat="1" applyFont="1"/>
    <xf numFmtId="43" fontId="7" fillId="0" borderId="0" xfId="5" applyNumberFormat="1" applyFont="1"/>
    <xf numFmtId="0" fontId="4" fillId="0" borderId="0" xfId="5" applyFont="1" applyAlignment="1">
      <alignment wrapText="1"/>
    </xf>
    <xf numFmtId="164" fontId="4" fillId="0" borderId="0" xfId="5" applyNumberFormat="1" applyFont="1" applyProtection="1">
      <protection locked="0"/>
    </xf>
    <xf numFmtId="0" fontId="7" fillId="0" borderId="0" xfId="5" applyFont="1" applyProtection="1"/>
    <xf numFmtId="3" fontId="7" fillId="0" borderId="0" xfId="5" applyNumberFormat="1" applyFont="1" applyProtection="1"/>
    <xf numFmtId="178" fontId="4" fillId="0" borderId="0" xfId="5" applyNumberFormat="1" applyFont="1" applyProtection="1">
      <protection locked="0"/>
    </xf>
    <xf numFmtId="0" fontId="4" fillId="0" borderId="0" xfId="5" applyFont="1" applyAlignment="1" applyProtection="1">
      <alignment horizontal="center" vertical="top"/>
      <protection locked="0"/>
    </xf>
    <xf numFmtId="0" fontId="4" fillId="0" borderId="0" xfId="5" applyFont="1" applyAlignment="1" applyProtection="1">
      <alignment vertical="top"/>
      <protection locked="0"/>
    </xf>
    <xf numFmtId="0" fontId="7" fillId="0" borderId="0" xfId="5" applyFont="1" applyAlignment="1" applyProtection="1">
      <alignment vertical="top"/>
      <protection locked="0"/>
    </xf>
    <xf numFmtId="0" fontId="28" fillId="0" borderId="0" xfId="5" applyFont="1" applyProtection="1">
      <protection locked="0"/>
    </xf>
    <xf numFmtId="164" fontId="4" fillId="0" borderId="0" xfId="0" applyFont="1" applyAlignment="1">
      <alignment vertical="top"/>
    </xf>
    <xf numFmtId="10" fontId="4" fillId="2" borderId="0" xfId="4" applyNumberFormat="1" applyFont="1" applyFill="1" applyAlignment="1" applyProtection="1">
      <alignment vertical="top"/>
      <protection locked="0"/>
    </xf>
    <xf numFmtId="0" fontId="4" fillId="0" borderId="0" xfId="5" applyFont="1" applyAlignment="1" applyProtection="1">
      <alignment horizontal="left" vertical="top" indent="1"/>
      <protection locked="0"/>
    </xf>
    <xf numFmtId="0" fontId="7" fillId="0" borderId="0" xfId="5" applyFont="1" applyAlignment="1" applyProtection="1">
      <alignment horizontal="left"/>
      <protection locked="0"/>
    </xf>
    <xf numFmtId="164" fontId="4" fillId="0" borderId="0" xfId="0" applyFont="1" applyAlignment="1">
      <alignment horizontal="left" vertical="top" wrapText="1"/>
    </xf>
    <xf numFmtId="0" fontId="4" fillId="0" borderId="0" xfId="0" applyNumberFormat="1" applyFont="1" applyAlignment="1">
      <alignment horizontal="center" vertical="top"/>
    </xf>
    <xf numFmtId="0" fontId="4" fillId="0" borderId="0" xfId="0" applyNumberFormat="1" applyFont="1" applyAlignment="1">
      <alignment vertical="top"/>
    </xf>
    <xf numFmtId="164" fontId="7" fillId="0" borderId="0" xfId="0" applyFont="1" applyAlignment="1">
      <alignment horizontal="left" vertical="top" wrapText="1"/>
    </xf>
    <xf numFmtId="0" fontId="7" fillId="0" borderId="0" xfId="0" applyNumberFormat="1" applyFont="1"/>
    <xf numFmtId="0" fontId="29" fillId="0" borderId="0" xfId="0" applyNumberFormat="1" applyFont="1"/>
    <xf numFmtId="0" fontId="4" fillId="0" borderId="0" xfId="5" applyFont="1" applyAlignment="1">
      <alignment vertical="top"/>
    </xf>
    <xf numFmtId="164" fontId="7" fillId="0" borderId="0" xfId="0" applyFont="1" applyAlignment="1">
      <alignment vertical="top"/>
    </xf>
    <xf numFmtId="0" fontId="4" fillId="0" borderId="0" xfId="5" applyFont="1" applyAlignment="1">
      <alignment horizontal="center" vertical="top"/>
    </xf>
    <xf numFmtId="0" fontId="4" fillId="0" borderId="0" xfId="0" applyNumberFormat="1" applyFont="1"/>
    <xf numFmtId="0" fontId="4" fillId="0" borderId="0" xfId="0" applyNumberFormat="1" applyFont="1" applyAlignment="1">
      <alignment horizontal="left"/>
    </xf>
    <xf numFmtId="43" fontId="4" fillId="0" borderId="0" xfId="1" applyFont="1" applyFill="1"/>
    <xf numFmtId="179" fontId="4" fillId="0" borderId="0" xfId="4" applyNumberFormat="1" applyFont="1" applyFill="1"/>
    <xf numFmtId="43" fontId="4" fillId="0" borderId="0" xfId="0" applyNumberFormat="1" applyFont="1"/>
    <xf numFmtId="0" fontId="4" fillId="0" borderId="0" xfId="14" applyFont="1" applyAlignment="1">
      <alignment horizontal="center"/>
    </xf>
    <xf numFmtId="0" fontId="4" fillId="0" borderId="0" xfId="14" applyFont="1"/>
    <xf numFmtId="0" fontId="5" fillId="0" borderId="0" xfId="14"/>
    <xf numFmtId="0" fontId="3" fillId="0" borderId="0" xfId="14" applyFont="1" applyAlignment="1">
      <alignment horizontal="center"/>
    </xf>
    <xf numFmtId="0" fontId="3" fillId="0" borderId="0" xfId="14" applyFont="1"/>
    <xf numFmtId="165" fontId="4" fillId="0" borderId="0" xfId="15" applyNumberFormat="1" applyFont="1" applyAlignment="1"/>
    <xf numFmtId="165" fontId="4" fillId="0" borderId="0" xfId="15" applyNumberFormat="1" applyFont="1" applyFill="1" applyAlignment="1"/>
    <xf numFmtId="165" fontId="4" fillId="0" borderId="0" xfId="15" applyNumberFormat="1" applyFont="1" applyFill="1" applyBorder="1" applyAlignment="1">
      <alignment wrapText="1"/>
    </xf>
    <xf numFmtId="43" fontId="5" fillId="0" borderId="0" xfId="1"/>
    <xf numFmtId="0" fontId="4" fillId="0" borderId="0" xfId="14" applyFont="1" applyAlignment="1">
      <alignment vertical="top"/>
    </xf>
    <xf numFmtId="165" fontId="4" fillId="3" borderId="0" xfId="15" applyNumberFormat="1" applyFont="1" applyFill="1" applyAlignment="1"/>
    <xf numFmtId="165" fontId="4" fillId="2" borderId="0" xfId="15" applyNumberFormat="1" applyFont="1" applyFill="1" applyAlignment="1"/>
    <xf numFmtId="165" fontId="4" fillId="0" borderId="0" xfId="15" applyNumberFormat="1" applyFont="1" applyFill="1" applyBorder="1" applyAlignment="1"/>
    <xf numFmtId="165" fontId="4" fillId="0" borderId="0" xfId="15" applyNumberFormat="1" applyFont="1" applyBorder="1" applyAlignment="1"/>
    <xf numFmtId="165" fontId="4" fillId="0" borderId="0" xfId="14" applyNumberFormat="1" applyFont="1"/>
    <xf numFmtId="0" fontId="22" fillId="0" borderId="0" xfId="14" applyFont="1"/>
    <xf numFmtId="0" fontId="30" fillId="0" borderId="0" xfId="14" applyFont="1"/>
    <xf numFmtId="165" fontId="4" fillId="0" borderId="0" xfId="15" applyNumberFormat="1" applyFont="1" applyFill="1" applyAlignment="1">
      <alignment vertical="top"/>
    </xf>
    <xf numFmtId="164" fontId="4" fillId="0" borderId="3" xfId="0" applyFont="1" applyBorder="1"/>
    <xf numFmtId="164" fontId="4" fillId="0" borderId="0" xfId="0" applyFont="1" applyAlignment="1">
      <alignment horizontal="centerContinuous"/>
    </xf>
    <xf numFmtId="164" fontId="31" fillId="0" borderId="0" xfId="0" applyFont="1" applyAlignment="1">
      <alignment horizontal="right"/>
    </xf>
    <xf numFmtId="178" fontId="4" fillId="0" borderId="0" xfId="0" applyNumberFormat="1" applyFont="1"/>
    <xf numFmtId="43" fontId="4" fillId="0" borderId="0" xfId="1" applyFont="1"/>
    <xf numFmtId="43" fontId="4" fillId="2" borderId="0" xfId="1" applyFont="1" applyFill="1"/>
    <xf numFmtId="178" fontId="4" fillId="2" borderId="0" xfId="0" applyNumberFormat="1" applyFont="1" applyFill="1"/>
    <xf numFmtId="43" fontId="4" fillId="0" borderId="3" xfId="1" applyFont="1" applyBorder="1"/>
    <xf numFmtId="43" fontId="4" fillId="0" borderId="4" xfId="1" applyFont="1" applyBorder="1"/>
    <xf numFmtId="41" fontId="4" fillId="0" borderId="0" xfId="0" applyNumberFormat="1" applyFont="1"/>
    <xf numFmtId="41" fontId="4" fillId="2" borderId="0" xfId="0" applyNumberFormat="1" applyFont="1" applyFill="1"/>
    <xf numFmtId="41" fontId="4" fillId="0" borderId="3" xfId="0" applyNumberFormat="1" applyFont="1" applyBorder="1"/>
    <xf numFmtId="178" fontId="3" fillId="0" borderId="0" xfId="0" applyNumberFormat="1" applyFont="1"/>
    <xf numFmtId="41" fontId="4" fillId="0" borderId="0" xfId="14" applyNumberFormat="1" applyFont="1"/>
    <xf numFmtId="165" fontId="4" fillId="0" borderId="0" xfId="15" applyNumberFormat="1" applyFont="1" applyFill="1" applyAlignment="1">
      <alignment horizontal="right"/>
    </xf>
    <xf numFmtId="0" fontId="4" fillId="2" borderId="0" xfId="14" applyFont="1" applyFill="1"/>
    <xf numFmtId="165" fontId="4" fillId="0" borderId="0" xfId="15" applyNumberFormat="1" applyFont="1" applyFill="1"/>
    <xf numFmtId="10" fontId="4" fillId="0" borderId="0" xfId="14" applyNumberFormat="1" applyFont="1"/>
    <xf numFmtId="0" fontId="32" fillId="0" borderId="0" xfId="14" applyFont="1"/>
    <xf numFmtId="0" fontId="33" fillId="0" borderId="0" xfId="14" applyFont="1"/>
    <xf numFmtId="0" fontId="34" fillId="0" borderId="0" xfId="14" applyFont="1"/>
    <xf numFmtId="0" fontId="35" fillId="0" borderId="0" xfId="14" applyFont="1" applyAlignment="1">
      <alignment horizontal="left"/>
    </xf>
    <xf numFmtId="0" fontId="34" fillId="0" borderId="0" xfId="14" applyFont="1" applyAlignment="1">
      <alignment horizontal="center" wrapText="1"/>
    </xf>
    <xf numFmtId="0" fontId="4" fillId="0" borderId="8" xfId="14" applyFont="1" applyBorder="1" applyAlignment="1">
      <alignment horizontal="center"/>
    </xf>
    <xf numFmtId="0" fontId="15" fillId="0" borderId="0" xfId="14" applyFont="1" applyAlignment="1">
      <alignment horizontal="left"/>
    </xf>
    <xf numFmtId="0" fontId="4" fillId="0" borderId="9" xfId="14" applyFont="1" applyBorder="1" applyAlignment="1">
      <alignment horizontal="right"/>
    </xf>
    <xf numFmtId="0" fontId="36" fillId="0" borderId="0" xfId="14" applyFont="1"/>
    <xf numFmtId="0" fontId="37" fillId="0" borderId="0" xfId="14" applyFont="1"/>
    <xf numFmtId="3" fontId="4" fillId="0" borderId="0" xfId="14" applyNumberFormat="1" applyFont="1"/>
    <xf numFmtId="0" fontId="13" fillId="3" borderId="0" xfId="1" applyNumberFormat="1" applyFont="1" applyFill="1" applyBorder="1" applyAlignment="1">
      <alignment horizontal="center"/>
    </xf>
    <xf numFmtId="165" fontId="4" fillId="2" borderId="9" xfId="15" applyNumberFormat="1" applyFont="1" applyFill="1" applyBorder="1" applyAlignment="1">
      <alignment horizontal="right"/>
    </xf>
    <xf numFmtId="165" fontId="34" fillId="0" borderId="0" xfId="1" applyNumberFormat="1" applyFont="1" applyFill="1" applyBorder="1" applyAlignment="1">
      <alignment horizontal="right"/>
    </xf>
    <xf numFmtId="165" fontId="34" fillId="0" borderId="0" xfId="14" applyNumberFormat="1" applyFont="1" applyAlignment="1">
      <alignment horizontal="center" wrapText="1"/>
    </xf>
    <xf numFmtId="0" fontId="4" fillId="0" borderId="0" xfId="14" applyFont="1" applyAlignment="1">
      <alignment horizontal="left"/>
    </xf>
    <xf numFmtId="165" fontId="5" fillId="0" borderId="0" xfId="1" applyNumberFormat="1" applyFont="1" applyFill="1" applyBorder="1" applyAlignment="1">
      <alignment horizontal="right"/>
    </xf>
    <xf numFmtId="165" fontId="5" fillId="0" borderId="0" xfId="1" applyNumberFormat="1" applyFont="1" applyFill="1" applyBorder="1" applyAlignment="1">
      <alignment horizontal="center"/>
    </xf>
    <xf numFmtId="165" fontId="34" fillId="0" borderId="0" xfId="14" applyNumberFormat="1" applyFont="1"/>
    <xf numFmtId="165" fontId="34" fillId="0" borderId="0" xfId="4" applyNumberFormat="1" applyFont="1" applyFill="1" applyBorder="1" applyAlignment="1">
      <alignment horizontal="center"/>
    </xf>
    <xf numFmtId="165" fontId="38" fillId="0" borderId="0" xfId="1" applyNumberFormat="1" applyFont="1" applyFill="1" applyBorder="1" applyAlignment="1">
      <alignment horizontal="right"/>
    </xf>
    <xf numFmtId="0" fontId="4" fillId="0" borderId="3" xfId="14" applyFont="1" applyBorder="1" applyAlignment="1">
      <alignment horizontal="left"/>
    </xf>
    <xf numFmtId="3" fontId="4" fillId="0" borderId="3" xfId="14" applyNumberFormat="1" applyFont="1" applyBorder="1"/>
    <xf numFmtId="0" fontId="13" fillId="3" borderId="3" xfId="1" applyNumberFormat="1" applyFont="1" applyFill="1" applyBorder="1" applyAlignment="1">
      <alignment horizontal="center"/>
    </xf>
    <xf numFmtId="165" fontId="4" fillId="2" borderId="10" xfId="15" applyNumberFormat="1" applyFont="1" applyFill="1" applyBorder="1" applyAlignment="1">
      <alignment horizontal="right"/>
    </xf>
    <xf numFmtId="0" fontId="3" fillId="0" borderId="0" xfId="14" applyFont="1" applyAlignment="1">
      <alignment horizontal="left"/>
    </xf>
    <xf numFmtId="3" fontId="13" fillId="0" borderId="0" xfId="14" applyNumberFormat="1" applyFont="1" applyAlignment="1">
      <alignment horizontal="center"/>
    </xf>
    <xf numFmtId="165" fontId="4" fillId="0" borderId="9" xfId="15" applyNumberFormat="1" applyFont="1" applyFill="1" applyBorder="1" applyAlignment="1">
      <alignment horizontal="right"/>
    </xf>
    <xf numFmtId="165" fontId="34" fillId="0" borderId="0" xfId="14" applyNumberFormat="1" applyFont="1" applyAlignment="1">
      <alignment horizontal="right"/>
    </xf>
    <xf numFmtId="165" fontId="13" fillId="0" borderId="0" xfId="1" applyNumberFormat="1" applyFont="1" applyFill="1" applyBorder="1" applyAlignment="1">
      <alignment horizontal="center"/>
    </xf>
    <xf numFmtId="0" fontId="4" fillId="0" borderId="9" xfId="14" applyFont="1" applyBorder="1" applyAlignment="1">
      <alignment horizontal="left"/>
    </xf>
    <xf numFmtId="3" fontId="34" fillId="0" borderId="0" xfId="14" applyNumberFormat="1" applyFont="1" applyAlignment="1">
      <alignment horizontal="right"/>
    </xf>
    <xf numFmtId="0" fontId="34" fillId="0" borderId="0" xfId="14" applyFont="1" applyAlignment="1">
      <alignment horizontal="center"/>
    </xf>
    <xf numFmtId="165" fontId="4" fillId="0" borderId="0" xfId="1" applyNumberFormat="1" applyFont="1" applyBorder="1" applyAlignment="1">
      <alignment horizontal="center"/>
    </xf>
    <xf numFmtId="0" fontId="4" fillId="0" borderId="9" xfId="14" applyFont="1" applyBorder="1"/>
    <xf numFmtId="165" fontId="4" fillId="3" borderId="9" xfId="15" applyNumberFormat="1" applyFont="1" applyFill="1" applyBorder="1" applyAlignment="1">
      <alignment horizontal="right"/>
    </xf>
    <xf numFmtId="3" fontId="39" fillId="0" borderId="0" xfId="14" applyNumberFormat="1" applyFont="1" applyAlignment="1">
      <alignment horizontal="right"/>
    </xf>
    <xf numFmtId="165" fontId="4" fillId="3" borderId="10" xfId="15" applyNumberFormat="1" applyFont="1" applyFill="1" applyBorder="1" applyAlignment="1">
      <alignment horizontal="right"/>
    </xf>
    <xf numFmtId="165" fontId="34" fillId="0" borderId="0" xfId="15" applyNumberFormat="1" applyFont="1" applyFill="1" applyBorder="1" applyAlignment="1"/>
    <xf numFmtId="165" fontId="13" fillId="0" borderId="0" xfId="1" applyNumberFormat="1" applyFont="1" applyBorder="1" applyAlignment="1">
      <alignment horizontal="center"/>
    </xf>
    <xf numFmtId="3" fontId="34" fillId="0" borderId="0" xfId="14" applyNumberFormat="1" applyFont="1" applyAlignment="1">
      <alignment horizontal="center"/>
    </xf>
    <xf numFmtId="0" fontId="13" fillId="0" borderId="0" xfId="14" applyFont="1" applyAlignment="1">
      <alignment horizontal="center"/>
    </xf>
    <xf numFmtId="165" fontId="4" fillId="0" borderId="9" xfId="15" applyNumberFormat="1" applyFont="1" applyBorder="1" applyAlignment="1">
      <alignment horizontal="right"/>
    </xf>
    <xf numFmtId="165" fontId="34" fillId="0" borderId="0" xfId="15" applyNumberFormat="1" applyFont="1" applyFill="1" applyBorder="1" applyAlignment="1">
      <alignment horizontal="right"/>
    </xf>
    <xf numFmtId="0" fontId="4" fillId="0" borderId="11" xfId="14" applyFont="1" applyBorder="1" applyAlignment="1">
      <alignment horizontal="center"/>
    </xf>
    <xf numFmtId="0" fontId="4" fillId="0" borderId="1" xfId="14" applyFont="1" applyBorder="1" applyAlignment="1">
      <alignment horizontal="center"/>
    </xf>
    <xf numFmtId="0" fontId="4" fillId="0" borderId="1" xfId="14" applyFont="1" applyBorder="1" applyAlignment="1">
      <alignment horizontal="left"/>
    </xf>
    <xf numFmtId="0" fontId="4" fillId="0" borderId="1" xfId="14" applyFont="1" applyBorder="1"/>
    <xf numFmtId="0" fontId="13" fillId="0" borderId="1" xfId="14" applyFont="1" applyBorder="1" applyAlignment="1">
      <alignment horizontal="center"/>
    </xf>
    <xf numFmtId="0" fontId="4" fillId="0" borderId="12" xfId="14" applyFont="1" applyBorder="1" applyAlignment="1">
      <alignment horizontal="left"/>
    </xf>
    <xf numFmtId="165" fontId="34" fillId="0" borderId="0" xfId="14" applyNumberFormat="1" applyFont="1" applyAlignment="1">
      <alignment horizontal="center"/>
    </xf>
    <xf numFmtId="0" fontId="35" fillId="0" borderId="8" xfId="14" applyFont="1" applyBorder="1" applyAlignment="1">
      <alignment horizontal="left"/>
    </xf>
    <xf numFmtId="0" fontId="40" fillId="0" borderId="0" xfId="14" applyFont="1"/>
    <xf numFmtId="0" fontId="39" fillId="0" borderId="0" xfId="14" applyFont="1"/>
    <xf numFmtId="165" fontId="39" fillId="0" borderId="0" xfId="1" applyNumberFormat="1" applyFont="1" applyFill="1" applyBorder="1" applyAlignment="1">
      <alignment horizontal="center"/>
    </xf>
    <xf numFmtId="165" fontId="39" fillId="0" borderId="0" xfId="4" applyNumberFormat="1" applyFont="1" applyFill="1" applyBorder="1" applyAlignment="1">
      <alignment horizontal="center"/>
    </xf>
    <xf numFmtId="165" fontId="34" fillId="0" borderId="0" xfId="1" applyNumberFormat="1" applyFont="1" applyFill="1"/>
    <xf numFmtId="165" fontId="38" fillId="0" borderId="0" xfId="14" applyNumberFormat="1" applyFont="1"/>
    <xf numFmtId="165" fontId="39" fillId="0" borderId="0" xfId="14" applyNumberFormat="1" applyFont="1"/>
    <xf numFmtId="168" fontId="34" fillId="0" borderId="0" xfId="4" applyNumberFormat="1" applyFont="1" applyFill="1" applyBorder="1" applyAlignment="1">
      <alignment horizontal="right"/>
    </xf>
    <xf numFmtId="165" fontId="34" fillId="0" borderId="0" xfId="1" applyNumberFormat="1" applyFont="1" applyFill="1" applyBorder="1" applyAlignment="1">
      <alignment horizontal="center"/>
    </xf>
    <xf numFmtId="165" fontId="41" fillId="0" borderId="0" xfId="14" applyNumberFormat="1" applyFont="1"/>
    <xf numFmtId="43" fontId="34" fillId="0" borderId="0" xfId="14" applyNumberFormat="1" applyFont="1"/>
    <xf numFmtId="165" fontId="38" fillId="0" borderId="0" xfId="14" applyNumberFormat="1" applyFont="1" applyAlignment="1">
      <alignment horizontal="right"/>
    </xf>
    <xf numFmtId="3" fontId="4" fillId="0" borderId="9" xfId="14" applyNumberFormat="1" applyFont="1" applyBorder="1" applyAlignment="1">
      <alignment horizontal="left"/>
    </xf>
    <xf numFmtId="0" fontId="42" fillId="0" borderId="0" xfId="14" applyFont="1"/>
    <xf numFmtId="10" fontId="34" fillId="0" borderId="0" xfId="14" applyNumberFormat="1" applyFont="1"/>
    <xf numFmtId="165" fontId="4" fillId="0" borderId="0" xfId="15" applyNumberFormat="1" applyFont="1" applyFill="1" applyBorder="1" applyAlignment="1">
      <alignment horizontal="right"/>
    </xf>
    <xf numFmtId="0" fontId="4" fillId="0" borderId="0" xfId="14" applyFont="1" applyAlignment="1">
      <alignment horizontal="center" wrapText="1"/>
    </xf>
    <xf numFmtId="0" fontId="35" fillId="4" borderId="14" xfId="14" applyFont="1" applyFill="1" applyBorder="1" applyAlignment="1">
      <alignment horizontal="center" wrapText="1"/>
    </xf>
    <xf numFmtId="0" fontId="4" fillId="0" borderId="5" xfId="14" applyFont="1" applyBorder="1" applyAlignment="1">
      <alignment horizontal="center"/>
    </xf>
    <xf numFmtId="0" fontId="4" fillId="0" borderId="6" xfId="14" applyFont="1" applyBorder="1" applyAlignment="1">
      <alignment horizontal="center"/>
    </xf>
    <xf numFmtId="0" fontId="3" fillId="0" borderId="6" xfId="14" applyFont="1" applyBorder="1" applyAlignment="1">
      <alignment horizontal="left"/>
    </xf>
    <xf numFmtId="0" fontId="13" fillId="0" borderId="6" xfId="14" applyFont="1" applyBorder="1"/>
    <xf numFmtId="165" fontId="4" fillId="0" borderId="5" xfId="15" applyNumberFormat="1" applyFont="1" applyFill="1" applyBorder="1"/>
    <xf numFmtId="165" fontId="4" fillId="0" borderId="6" xfId="15" applyNumberFormat="1" applyFont="1" applyFill="1" applyBorder="1" applyAlignment="1">
      <alignment horizontal="center"/>
    </xf>
    <xf numFmtId="165" fontId="3" fillId="0" borderId="6" xfId="15" applyNumberFormat="1" applyFont="1" applyFill="1" applyBorder="1"/>
    <xf numFmtId="0" fontId="35" fillId="0" borderId="6" xfId="14" applyFont="1" applyBorder="1" applyAlignment="1">
      <alignment horizontal="center" wrapText="1"/>
    </xf>
    <xf numFmtId="0" fontId="4" fillId="0" borderId="6" xfId="14" applyFont="1" applyBorder="1" applyAlignment="1">
      <alignment horizontal="center" wrapText="1"/>
    </xf>
    <xf numFmtId="0" fontId="4" fillId="0" borderId="7" xfId="14" applyFont="1" applyBorder="1" applyAlignment="1">
      <alignment horizontal="center" wrapText="1"/>
    </xf>
    <xf numFmtId="0" fontId="4" fillId="0" borderId="8" xfId="5" applyFont="1" applyBorder="1" applyAlignment="1" applyProtection="1">
      <alignment horizontal="center"/>
      <protection locked="0"/>
    </xf>
    <xf numFmtId="165" fontId="4" fillId="0" borderId="8" xfId="1" applyNumberFormat="1" applyFont="1" applyFill="1" applyBorder="1" applyAlignment="1"/>
    <xf numFmtId="177" fontId="4" fillId="0" borderId="0" xfId="5" applyNumberFormat="1" applyFont="1"/>
    <xf numFmtId="0" fontId="13" fillId="0" borderId="9" xfId="5" applyFont="1" applyBorder="1"/>
    <xf numFmtId="0" fontId="4" fillId="0" borderId="0" xfId="14" applyFont="1" applyAlignment="1">
      <alignment horizontal="right"/>
    </xf>
    <xf numFmtId="3" fontId="4" fillId="0" borderId="8" xfId="5" applyNumberFormat="1" applyFont="1" applyBorder="1"/>
    <xf numFmtId="0" fontId="4" fillId="3" borderId="0" xfId="1" applyNumberFormat="1" applyFont="1" applyFill="1" applyBorder="1" applyAlignment="1">
      <alignment horizontal="center"/>
    </xf>
    <xf numFmtId="165" fontId="4" fillId="3" borderId="9" xfId="15" applyNumberFormat="1" applyFont="1" applyFill="1" applyBorder="1" applyAlignment="1"/>
    <xf numFmtId="3" fontId="0" fillId="0" borderId="0" xfId="5" applyNumberFormat="1" applyFont="1"/>
    <xf numFmtId="165" fontId="41" fillId="0" borderId="0" xfId="15" applyNumberFormat="1" applyFont="1" applyFill="1" applyBorder="1" applyAlignment="1"/>
    <xf numFmtId="165" fontId="41" fillId="0" borderId="0" xfId="5" applyNumberFormat="1" applyFont="1"/>
    <xf numFmtId="0" fontId="4" fillId="3" borderId="3" xfId="1" applyNumberFormat="1" applyFont="1" applyFill="1" applyBorder="1" applyAlignment="1">
      <alignment horizontal="center"/>
    </xf>
    <xf numFmtId="165" fontId="4" fillId="3" borderId="10" xfId="15" applyNumberFormat="1" applyFont="1" applyFill="1" applyBorder="1" applyAlignment="1"/>
    <xf numFmtId="0" fontId="13" fillId="0" borderId="0" xfId="14" applyFont="1"/>
    <xf numFmtId="165" fontId="4" fillId="0" borderId="8" xfId="15" applyNumberFormat="1" applyFont="1" applyFill="1" applyBorder="1"/>
    <xf numFmtId="165" fontId="4" fillId="0" borderId="0" xfId="15" applyNumberFormat="1" applyFont="1" applyFill="1" applyBorder="1" applyAlignment="1">
      <alignment horizontal="center"/>
    </xf>
    <xf numFmtId="165" fontId="3" fillId="0" borderId="0" xfId="15" applyNumberFormat="1" applyFont="1" applyFill="1" applyBorder="1"/>
    <xf numFmtId="0" fontId="35" fillId="0" borderId="0" xfId="14" applyFont="1" applyAlignment="1">
      <alignment horizontal="center" wrapText="1"/>
    </xf>
    <xf numFmtId="0" fontId="4" fillId="0" borderId="9" xfId="14" applyFont="1" applyBorder="1" applyAlignment="1">
      <alignment horizontal="center" wrapText="1"/>
    </xf>
    <xf numFmtId="0" fontId="35" fillId="0" borderId="5" xfId="14" applyFont="1" applyBorder="1" applyAlignment="1">
      <alignment horizontal="left"/>
    </xf>
    <xf numFmtId="0" fontId="4" fillId="0" borderId="6" xfId="14" applyFont="1" applyBorder="1"/>
    <xf numFmtId="0" fontId="4" fillId="0" borderId="7" xfId="14" applyFont="1" applyBorder="1"/>
    <xf numFmtId="0" fontId="35" fillId="4" borderId="0" xfId="14" applyFont="1" applyFill="1" applyAlignment="1">
      <alignment horizontal="center" wrapText="1"/>
    </xf>
    <xf numFmtId="3" fontId="4" fillId="0" borderId="0" xfId="14" applyNumberFormat="1" applyFont="1" applyAlignment="1">
      <alignment horizontal="center"/>
    </xf>
    <xf numFmtId="164" fontId="4" fillId="0" borderId="9" xfId="0" applyFont="1" applyBorder="1"/>
    <xf numFmtId="43" fontId="4" fillId="2" borderId="0" xfId="14" applyNumberFormat="1" applyFont="1" applyFill="1" applyAlignment="1">
      <alignment horizontal="center"/>
    </xf>
    <xf numFmtId="43" fontId="4" fillId="0" borderId="0" xfId="14" applyNumberFormat="1" applyFont="1" applyAlignment="1">
      <alignment horizontal="center"/>
    </xf>
    <xf numFmtId="164" fontId="4" fillId="2" borderId="0" xfId="0" applyFont="1" applyFill="1"/>
    <xf numFmtId="0" fontId="4" fillId="0" borderId="12" xfId="14" applyFont="1" applyBorder="1"/>
    <xf numFmtId="0" fontId="35" fillId="5" borderId="0" xfId="14" applyFont="1" applyFill="1" applyAlignment="1">
      <alignment horizontal="left"/>
    </xf>
    <xf numFmtId="0" fontId="4" fillId="5" borderId="0" xfId="14" applyFont="1" applyFill="1"/>
    <xf numFmtId="3" fontId="3" fillId="0" borderId="0" xfId="14" applyNumberFormat="1" applyFont="1" applyAlignment="1">
      <alignment horizontal="center"/>
    </xf>
    <xf numFmtId="164" fontId="43" fillId="0" borderId="0" xfId="0" applyFont="1"/>
    <xf numFmtId="165" fontId="4" fillId="2" borderId="0" xfId="15" applyNumberFormat="1" applyFont="1" applyFill="1" applyBorder="1" applyAlignment="1">
      <alignment horizontal="right"/>
    </xf>
    <xf numFmtId="0" fontId="4" fillId="0" borderId="8" xfId="14" applyFont="1" applyBorder="1"/>
    <xf numFmtId="0" fontId="44" fillId="0" borderId="0" xfId="14" applyFont="1" applyAlignment="1">
      <alignment horizontal="left"/>
    </xf>
    <xf numFmtId="0" fontId="3" fillId="0" borderId="6" xfId="14" applyFont="1" applyBorder="1" applyAlignment="1">
      <alignment horizontal="center" wrapText="1"/>
    </xf>
    <xf numFmtId="165" fontId="4" fillId="0" borderId="0" xfId="14" applyNumberFormat="1" applyFont="1" applyAlignment="1">
      <alignment horizontal="center"/>
    </xf>
    <xf numFmtId="0" fontId="29" fillId="0" borderId="1" xfId="14" applyFont="1" applyBorder="1"/>
    <xf numFmtId="0" fontId="35" fillId="4" borderId="6" xfId="14" applyFont="1" applyFill="1" applyBorder="1" applyAlignment="1">
      <alignment horizontal="center"/>
    </xf>
    <xf numFmtId="0" fontId="35" fillId="4" borderId="5" xfId="14" applyFont="1" applyFill="1" applyBorder="1" applyAlignment="1">
      <alignment horizontal="center" wrapText="1"/>
    </xf>
    <xf numFmtId="0" fontId="35" fillId="4" borderId="6" xfId="14" applyFont="1" applyFill="1" applyBorder="1" applyAlignment="1">
      <alignment horizontal="center" wrapText="1"/>
    </xf>
    <xf numFmtId="0" fontId="22" fillId="4" borderId="6" xfId="14" applyFont="1" applyFill="1" applyBorder="1" applyAlignment="1">
      <alignment horizontal="center" wrapText="1"/>
    </xf>
    <xf numFmtId="0" fontId="22" fillId="4" borderId="7" xfId="14" applyFont="1" applyFill="1" applyBorder="1" applyAlignment="1">
      <alignment horizontal="center" wrapText="1"/>
    </xf>
    <xf numFmtId="0" fontId="3" fillId="0" borderId="8" xfId="14" applyFont="1" applyBorder="1" applyAlignment="1">
      <alignment horizontal="center"/>
    </xf>
    <xf numFmtId="3" fontId="3" fillId="0" borderId="0" xfId="14" applyNumberFormat="1" applyFont="1"/>
    <xf numFmtId="165" fontId="4" fillId="2" borderId="8" xfId="1" applyNumberFormat="1" applyFont="1" applyFill="1" applyBorder="1"/>
    <xf numFmtId="165" fontId="4" fillId="0" borderId="8" xfId="1" applyNumberFormat="1" applyFont="1" applyBorder="1"/>
    <xf numFmtId="0" fontId="4" fillId="0" borderId="11" xfId="14" applyFont="1" applyBorder="1"/>
    <xf numFmtId="0" fontId="35" fillId="0" borderId="1" xfId="14" applyFont="1" applyBorder="1"/>
    <xf numFmtId="0" fontId="35" fillId="0" borderId="0" xfId="14" applyFont="1"/>
    <xf numFmtId="0" fontId="35" fillId="4" borderId="5" xfId="14" applyFont="1" applyFill="1" applyBorder="1" applyAlignment="1">
      <alignment horizontal="left"/>
    </xf>
    <xf numFmtId="0" fontId="4" fillId="4" borderId="6" xfId="14" applyFont="1" applyFill="1" applyBorder="1"/>
    <xf numFmtId="165" fontId="4" fillId="0" borderId="0" xfId="15" applyNumberFormat="1" applyFont="1" applyFill="1" applyBorder="1"/>
    <xf numFmtId="168" fontId="4" fillId="0" borderId="0" xfId="16" applyNumberFormat="1" applyFont="1" applyFill="1" applyBorder="1" applyAlignment="1"/>
    <xf numFmtId="165" fontId="4" fillId="0" borderId="0" xfId="15" applyNumberFormat="1" applyFont="1" applyFill="1" applyBorder="1" applyAlignment="1">
      <alignment horizontal="left"/>
    </xf>
    <xf numFmtId="0" fontId="4" fillId="0" borderId="9" xfId="14" applyFont="1" applyBorder="1" applyAlignment="1">
      <alignment horizontal="center"/>
    </xf>
    <xf numFmtId="165" fontId="13" fillId="2" borderId="0" xfId="1" applyNumberFormat="1" applyFont="1" applyFill="1" applyBorder="1" applyAlignment="1">
      <alignment horizontal="center"/>
    </xf>
    <xf numFmtId="165" fontId="4" fillId="2" borderId="0" xfId="15" applyNumberFormat="1" applyFont="1" applyFill="1" applyBorder="1" applyAlignment="1"/>
    <xf numFmtId="165" fontId="13" fillId="3" borderId="0" xfId="1" applyNumberFormat="1" applyFont="1" applyFill="1" applyBorder="1" applyAlignment="1">
      <alignment horizontal="center"/>
    </xf>
    <xf numFmtId="165" fontId="4" fillId="0" borderId="1" xfId="14" applyNumberFormat="1" applyFont="1" applyBorder="1"/>
    <xf numFmtId="165" fontId="4" fillId="0" borderId="1" xfId="15" applyNumberFormat="1" applyFont="1" applyBorder="1"/>
    <xf numFmtId="165" fontId="3" fillId="0" borderId="1" xfId="15" applyNumberFormat="1" applyFont="1" applyBorder="1" applyAlignment="1"/>
    <xf numFmtId="0" fontId="4" fillId="0" borderId="1" xfId="14" applyFont="1" applyBorder="1" applyAlignment="1">
      <alignment horizontal="center" wrapText="1"/>
    </xf>
    <xf numFmtId="0" fontId="4" fillId="0" borderId="12" xfId="14" applyFont="1" applyBorder="1" applyAlignment="1">
      <alignment horizontal="center" wrapText="1"/>
    </xf>
    <xf numFmtId="165" fontId="3" fillId="0" borderId="0" xfId="15" applyNumberFormat="1" applyFont="1" applyBorder="1" applyAlignment="1"/>
    <xf numFmtId="165" fontId="4" fillId="0" borderId="0" xfId="15" applyNumberFormat="1" applyFont="1" applyBorder="1"/>
    <xf numFmtId="49" fontId="26" fillId="0" borderId="8" xfId="0" applyNumberFormat="1" applyFont="1" applyBorder="1" applyAlignment="1">
      <alignment horizontal="center" vertical="center" wrapText="1"/>
    </xf>
    <xf numFmtId="0" fontId="26" fillId="0" borderId="0" xfId="14" applyFont="1"/>
    <xf numFmtId="0" fontId="46" fillId="0" borderId="0" xfId="17" applyFont="1" applyAlignment="1">
      <alignment horizontal="center"/>
    </xf>
    <xf numFmtId="3" fontId="26" fillId="0" borderId="0" xfId="14" applyNumberFormat="1" applyFont="1"/>
    <xf numFmtId="164" fontId="46" fillId="0" borderId="3" xfId="18" applyFont="1" applyBorder="1" applyAlignment="1">
      <alignment horizontal="center" wrapText="1"/>
    </xf>
    <xf numFmtId="164" fontId="46" fillId="0" borderId="0" xfId="18" applyFont="1" applyAlignment="1">
      <alignment horizontal="center" wrapText="1"/>
    </xf>
    <xf numFmtId="164" fontId="26" fillId="0" borderId="0" xfId="19" applyFont="1"/>
    <xf numFmtId="180" fontId="26" fillId="0" borderId="0" xfId="1" applyNumberFormat="1" applyFont="1" applyFill="1" applyBorder="1" applyAlignment="1">
      <alignment horizontal="right"/>
    </xf>
    <xf numFmtId="178" fontId="26" fillId="0" borderId="0" xfId="18" applyNumberFormat="1" applyFont="1"/>
    <xf numFmtId="180" fontId="26" fillId="0" borderId="0" xfId="1" applyNumberFormat="1" applyFont="1" applyFill="1" applyBorder="1" applyAlignment="1"/>
    <xf numFmtId="181" fontId="26" fillId="0" borderId="0" xfId="20" applyNumberFormat="1" applyFont="1"/>
    <xf numFmtId="180" fontId="26" fillId="3" borderId="0" xfId="1" applyNumberFormat="1" applyFont="1" applyFill="1" applyBorder="1" applyAlignment="1">
      <alignment horizontal="right"/>
    </xf>
    <xf numFmtId="165" fontId="26" fillId="0" borderId="0" xfId="21" applyNumberFormat="1" applyFont="1" applyFill="1" applyBorder="1" applyAlignment="1">
      <alignment horizontal="right"/>
    </xf>
    <xf numFmtId="180" fontId="26" fillId="0" borderId="0" xfId="1" applyNumberFormat="1" applyFont="1" applyBorder="1" applyAlignment="1"/>
    <xf numFmtId="178" fontId="26" fillId="0" borderId="0" xfId="19" applyNumberFormat="1" applyFont="1"/>
    <xf numFmtId="164" fontId="26" fillId="0" borderId="0" xfId="18" applyFont="1"/>
    <xf numFmtId="180" fontId="26" fillId="2" borderId="0" xfId="1" applyNumberFormat="1" applyFont="1" applyFill="1" applyBorder="1" applyAlignment="1"/>
    <xf numFmtId="0" fontId="26" fillId="0" borderId="8" xfId="0" applyNumberFormat="1" applyFont="1" applyBorder="1" applyAlignment="1">
      <alignment horizontal="center" vertical="center"/>
    </xf>
    <xf numFmtId="164" fontId="26" fillId="0" borderId="8" xfId="18" applyFont="1" applyBorder="1" applyAlignment="1">
      <alignment horizontal="center"/>
    </xf>
    <xf numFmtId="164" fontId="26" fillId="0" borderId="0" xfId="18" applyFont="1" applyAlignment="1">
      <alignment horizontal="center" vertical="top"/>
    </xf>
    <xf numFmtId="164" fontId="26" fillId="0" borderId="0" xfId="0" applyFont="1" applyAlignment="1">
      <alignment horizontal="center"/>
    </xf>
    <xf numFmtId="164" fontId="26" fillId="0" borderId="0" xfId="0" applyFont="1" applyAlignment="1">
      <alignment horizontal="left"/>
    </xf>
    <xf numFmtId="164" fontId="26" fillId="0" borderId="1" xfId="0" applyFont="1" applyBorder="1"/>
    <xf numFmtId="165" fontId="0" fillId="0" borderId="0" xfId="1" applyNumberFormat="1" applyFont="1" applyAlignment="1"/>
    <xf numFmtId="0" fontId="35" fillId="0" borderId="0" xfId="1" applyNumberFormat="1" applyFont="1" applyFill="1" applyBorder="1" applyAlignment="1">
      <alignment horizontal="left"/>
    </xf>
    <xf numFmtId="165" fontId="5" fillId="0" borderId="0" xfId="1" applyNumberFormat="1" applyFont="1"/>
    <xf numFmtId="165" fontId="35" fillId="4" borderId="1" xfId="1" applyNumberFormat="1" applyFont="1" applyFill="1" applyBorder="1" applyAlignment="1">
      <alignment horizontal="center" wrapText="1"/>
    </xf>
    <xf numFmtId="165" fontId="4" fillId="5" borderId="1" xfId="1" applyNumberFormat="1" applyFont="1" applyFill="1" applyBorder="1"/>
    <xf numFmtId="165" fontId="4" fillId="5" borderId="0" xfId="1" applyNumberFormat="1" applyFont="1" applyFill="1"/>
    <xf numFmtId="0" fontId="4" fillId="0" borderId="8" xfId="1" applyNumberFormat="1" applyFont="1" applyFill="1" applyBorder="1" applyAlignment="1">
      <alignment horizontal="center"/>
    </xf>
    <xf numFmtId="3" fontId="3" fillId="0" borderId="0" xfId="14" applyNumberFormat="1" applyFont="1" applyAlignment="1">
      <alignment horizontal="left"/>
    </xf>
    <xf numFmtId="165" fontId="4" fillId="0" borderId="7" xfId="1" applyNumberFormat="1" applyFont="1" applyBorder="1"/>
    <xf numFmtId="0" fontId="3" fillId="0" borderId="8" xfId="1" applyNumberFormat="1" applyFont="1" applyBorder="1" applyAlignment="1">
      <alignment horizontal="center"/>
    </xf>
    <xf numFmtId="165" fontId="4" fillId="0" borderId="9" xfId="1" applyNumberFormat="1" applyFont="1" applyBorder="1" applyAlignment="1">
      <alignment horizontal="center"/>
    </xf>
    <xf numFmtId="0" fontId="4" fillId="0" borderId="8" xfId="1" applyNumberFormat="1" applyFont="1" applyBorder="1" applyAlignment="1">
      <alignment horizontal="center"/>
    </xf>
    <xf numFmtId="43" fontId="4" fillId="0" borderId="0" xfId="1" applyFont="1" applyBorder="1" applyAlignment="1">
      <alignment horizontal="center"/>
    </xf>
    <xf numFmtId="0" fontId="3" fillId="0" borderId="16" xfId="1" applyNumberFormat="1" applyFont="1" applyBorder="1" applyAlignment="1">
      <alignment horizontal="center"/>
    </xf>
    <xf numFmtId="164" fontId="3" fillId="0" borderId="3" xfId="0" applyFont="1" applyBorder="1" applyAlignment="1">
      <alignment horizontal="center"/>
    </xf>
    <xf numFmtId="165" fontId="3" fillId="0" borderId="3" xfId="1" applyNumberFormat="1" applyFont="1" applyFill="1" applyBorder="1" applyAlignment="1">
      <alignment horizontal="center"/>
    </xf>
    <xf numFmtId="165" fontId="3" fillId="0" borderId="10" xfId="1" applyNumberFormat="1" applyFont="1" applyFill="1" applyBorder="1" applyAlignment="1">
      <alignment horizontal="center"/>
    </xf>
    <xf numFmtId="165" fontId="4" fillId="0" borderId="0" xfId="1" applyNumberFormat="1" applyFont="1" applyFill="1" applyBorder="1" applyAlignment="1">
      <alignment horizontal="center"/>
    </xf>
    <xf numFmtId="165" fontId="4" fillId="0" borderId="9" xfId="1" applyNumberFormat="1" applyFont="1" applyFill="1" applyBorder="1" applyAlignment="1">
      <alignment horizontal="center"/>
    </xf>
    <xf numFmtId="165" fontId="4" fillId="0" borderId="0" xfId="1" applyNumberFormat="1" applyFont="1" applyBorder="1"/>
    <xf numFmtId="165" fontId="4" fillId="0" borderId="9" xfId="1" applyNumberFormat="1" applyFont="1" applyBorder="1"/>
    <xf numFmtId="164" fontId="4" fillId="0" borderId="0" xfId="0" applyFont="1" applyAlignment="1">
      <alignment horizontal="left" indent="1"/>
    </xf>
    <xf numFmtId="165" fontId="48" fillId="3" borderId="17" xfId="1" applyNumberFormat="1" applyFont="1" applyFill="1" applyBorder="1"/>
    <xf numFmtId="165" fontId="4" fillId="3" borderId="17" xfId="1" applyNumberFormat="1" applyFont="1" applyFill="1" applyBorder="1"/>
    <xf numFmtId="165" fontId="49" fillId="3" borderId="17" xfId="1" applyNumberFormat="1" applyFont="1" applyFill="1" applyBorder="1"/>
    <xf numFmtId="165" fontId="4" fillId="3" borderId="18" xfId="1" applyNumberFormat="1" applyFont="1" applyFill="1" applyBorder="1"/>
    <xf numFmtId="164" fontId="4" fillId="0" borderId="0" xfId="0" applyFont="1" applyAlignment="1">
      <alignment horizontal="left" indent="2"/>
    </xf>
    <xf numFmtId="165" fontId="4" fillId="3" borderId="19" xfId="1" applyNumberFormat="1" applyFont="1" applyFill="1" applyBorder="1"/>
    <xf numFmtId="165" fontId="4" fillId="0" borderId="20" xfId="1" applyNumberFormat="1" applyFont="1" applyBorder="1"/>
    <xf numFmtId="164" fontId="4" fillId="0" borderId="0" xfId="0" applyFont="1" applyAlignment="1">
      <alignment horizontal="left"/>
    </xf>
    <xf numFmtId="165" fontId="4" fillId="0" borderId="21" xfId="1" applyNumberFormat="1" applyFont="1" applyBorder="1"/>
    <xf numFmtId="164" fontId="4" fillId="0" borderId="0" xfId="0" applyFont="1" applyAlignment="1">
      <alignment horizontal="left" wrapText="1" indent="1"/>
    </xf>
    <xf numFmtId="165" fontId="4" fillId="0" borderId="9" xfId="1" applyNumberFormat="1" applyFont="1" applyFill="1" applyBorder="1"/>
    <xf numFmtId="9" fontId="4" fillId="0" borderId="0" xfId="4" applyFont="1" applyBorder="1"/>
    <xf numFmtId="43" fontId="4" fillId="0" borderId="0" xfId="1" applyFont="1" applyBorder="1"/>
    <xf numFmtId="165" fontId="4" fillId="3" borderId="22" xfId="1" applyNumberFormat="1" applyFont="1" applyFill="1" applyBorder="1"/>
    <xf numFmtId="43" fontId="4" fillId="0" borderId="9" xfId="1" applyFont="1" applyBorder="1"/>
    <xf numFmtId="10" fontId="4" fillId="0" borderId="9" xfId="1" applyNumberFormat="1" applyFont="1" applyBorder="1"/>
    <xf numFmtId="43" fontId="4" fillId="3" borderId="22" xfId="1" applyFont="1" applyFill="1" applyBorder="1"/>
    <xf numFmtId="164" fontId="4" fillId="0" borderId="0" xfId="0" applyFont="1" applyAlignment="1">
      <alignment horizontal="left" wrapText="1" indent="2"/>
    </xf>
    <xf numFmtId="43" fontId="4" fillId="3" borderId="23" xfId="1" applyFont="1" applyFill="1" applyBorder="1"/>
    <xf numFmtId="10" fontId="4" fillId="0" borderId="21" xfId="4" applyNumberFormat="1" applyFont="1" applyBorder="1"/>
    <xf numFmtId="167" fontId="4" fillId="0" borderId="0" xfId="1" applyNumberFormat="1" applyFont="1" applyBorder="1"/>
    <xf numFmtId="43" fontId="4" fillId="3" borderId="17" xfId="1" applyFont="1" applyFill="1" applyBorder="1"/>
    <xf numFmtId="0" fontId="4" fillId="0" borderId="11" xfId="1" applyNumberFormat="1" applyFont="1" applyBorder="1" applyAlignment="1">
      <alignment horizontal="center"/>
    </xf>
    <xf numFmtId="164" fontId="4" fillId="0" borderId="1" xfId="0" applyFont="1" applyBorder="1"/>
    <xf numFmtId="165" fontId="4" fillId="0" borderId="1" xfId="1" applyNumberFormat="1" applyFont="1" applyBorder="1"/>
    <xf numFmtId="165" fontId="4" fillId="0" borderId="12" xfId="1" applyNumberFormat="1" applyFont="1" applyBorder="1"/>
    <xf numFmtId="165" fontId="4" fillId="0" borderId="0" xfId="1" applyNumberFormat="1" applyFont="1" applyFill="1" applyBorder="1"/>
    <xf numFmtId="0" fontId="4" fillId="0" borderId="0" xfId="18" applyNumberFormat="1" applyFont="1"/>
    <xf numFmtId="0" fontId="4" fillId="0" borderId="0" xfId="11" applyNumberFormat="1" applyFont="1" applyAlignment="1">
      <alignment horizontal="center"/>
    </xf>
    <xf numFmtId="165" fontId="3" fillId="0" borderId="0" xfId="1" applyNumberFormat="1" applyFont="1" applyAlignment="1"/>
    <xf numFmtId="0" fontId="3" fillId="0" borderId="0" xfId="18" applyNumberFormat="1" applyFont="1" applyAlignment="1">
      <alignment horizontal="center"/>
    </xf>
    <xf numFmtId="0" fontId="3" fillId="0" borderId="0" xfId="11" applyNumberFormat="1" applyFont="1" applyAlignment="1">
      <alignment horizontal="center"/>
    </xf>
    <xf numFmtId="165" fontId="3" fillId="0" borderId="0" xfId="1" applyNumberFormat="1" applyFont="1" applyAlignment="1">
      <alignment horizontal="center"/>
    </xf>
    <xf numFmtId="0" fontId="4" fillId="0" borderId="0" xfId="11" applyNumberFormat="1" applyFont="1" applyProtection="1">
      <protection locked="0"/>
    </xf>
    <xf numFmtId="3" fontId="4" fillId="0" borderId="1" xfId="11" applyNumberFormat="1" applyFont="1" applyBorder="1" applyAlignment="1">
      <alignment horizontal="center"/>
    </xf>
    <xf numFmtId="0" fontId="4" fillId="0" borderId="0" xfId="11" applyNumberFormat="1" applyFont="1"/>
    <xf numFmtId="0" fontId="4" fillId="0" borderId="1" xfId="11" applyNumberFormat="1" applyFont="1" applyBorder="1" applyAlignment="1" applyProtection="1">
      <alignment horizontal="center"/>
      <protection locked="0"/>
    </xf>
    <xf numFmtId="43" fontId="4" fillId="0" borderId="0" xfId="1" applyFont="1" applyFill="1" applyAlignment="1">
      <alignment horizontal="center"/>
    </xf>
    <xf numFmtId="182" fontId="4" fillId="0" borderId="0" xfId="11" applyNumberFormat="1" applyFont="1"/>
    <xf numFmtId="164" fontId="4" fillId="0" borderId="0" xfId="11" applyFont="1"/>
    <xf numFmtId="43" fontId="4" fillId="0" borderId="1" xfId="1" applyFont="1" applyFill="1" applyBorder="1" applyAlignment="1">
      <alignment horizontal="center"/>
    </xf>
    <xf numFmtId="10" fontId="4" fillId="0" borderId="0" xfId="1" applyNumberFormat="1" applyFont="1" applyFill="1" applyAlignment="1"/>
    <xf numFmtId="167" fontId="4" fillId="0" borderId="1" xfId="1" applyNumberFormat="1" applyFont="1" applyBorder="1" applyAlignment="1"/>
    <xf numFmtId="172" fontId="4" fillId="0" borderId="0" xfId="11" applyNumberFormat="1" applyFont="1" applyAlignment="1">
      <alignment horizontal="center"/>
    </xf>
    <xf numFmtId="3" fontId="4" fillId="0" borderId="0" xfId="12" applyNumberFormat="1" applyFont="1"/>
    <xf numFmtId="172" fontId="4" fillId="0" borderId="0" xfId="12" applyNumberFormat="1" applyFont="1"/>
    <xf numFmtId="43" fontId="4" fillId="0" borderId="0" xfId="1" applyFont="1" applyFill="1" applyAlignment="1">
      <alignment horizontal="right"/>
    </xf>
    <xf numFmtId="10" fontId="4" fillId="0" borderId="0" xfId="11" applyNumberFormat="1" applyFont="1" applyAlignment="1">
      <alignment horizontal="left"/>
    </xf>
    <xf numFmtId="43" fontId="4" fillId="0" borderId="0" xfId="1" applyFont="1" applyBorder="1" applyAlignment="1"/>
    <xf numFmtId="164" fontId="50" fillId="0" borderId="0" xfId="0" applyFont="1"/>
    <xf numFmtId="0" fontId="4" fillId="0" borderId="0" xfId="22" applyFont="1" applyAlignment="1">
      <alignment horizontal="left"/>
    </xf>
    <xf numFmtId="164" fontId="4" fillId="0" borderId="24" xfId="0" applyFont="1" applyBorder="1"/>
    <xf numFmtId="164" fontId="4" fillId="2" borderId="24" xfId="0" applyFont="1" applyFill="1" applyBorder="1"/>
    <xf numFmtId="165" fontId="4" fillId="0" borderId="0" xfId="0" applyNumberFormat="1" applyFont="1"/>
    <xf numFmtId="165" fontId="3" fillId="0" borderId="0" xfId="0" applyNumberFormat="1" applyFont="1"/>
    <xf numFmtId="164" fontId="4" fillId="0" borderId="0" xfId="0" applyFont="1" applyAlignment="1">
      <alignment horizontal="right"/>
    </xf>
    <xf numFmtId="164" fontId="4" fillId="0" borderId="0" xfId="0" applyFont="1" applyAlignment="1">
      <alignment horizontal="center" wrapText="1"/>
    </xf>
    <xf numFmtId="0" fontId="4" fillId="0" borderId="0" xfId="22" applyFont="1"/>
    <xf numFmtId="164" fontId="4" fillId="0" borderId="0" xfId="0" quotePrefix="1" applyFont="1" applyAlignment="1">
      <alignment horizontal="center"/>
    </xf>
    <xf numFmtId="164" fontId="4" fillId="6" borderId="0" xfId="0" applyFont="1" applyFill="1" applyAlignment="1">
      <alignment horizontal="center"/>
    </xf>
    <xf numFmtId="164" fontId="4" fillId="6" borderId="0" xfId="0" applyFont="1" applyFill="1"/>
    <xf numFmtId="43" fontId="4" fillId="6" borderId="0" xfId="1" applyFont="1" applyFill="1" applyAlignment="1"/>
    <xf numFmtId="165" fontId="4" fillId="6" borderId="0" xfId="1" applyNumberFormat="1" applyFont="1" applyFill="1" applyAlignment="1"/>
    <xf numFmtId="165" fontId="4" fillId="6" borderId="0" xfId="1" applyNumberFormat="1" applyFont="1" applyFill="1" applyAlignment="1">
      <alignment horizontal="center"/>
    </xf>
    <xf numFmtId="49" fontId="4" fillId="0" borderId="0" xfId="0" applyNumberFormat="1" applyFont="1" applyAlignment="1">
      <alignment horizontal="right"/>
    </xf>
    <xf numFmtId="0" fontId="4" fillId="0" borderId="0" xfId="22" applyFont="1" applyAlignment="1">
      <alignment horizontal="center"/>
    </xf>
    <xf numFmtId="0" fontId="5" fillId="0" borderId="0" xfId="22"/>
    <xf numFmtId="0" fontId="3" fillId="0" borderId="0" xfId="22" applyFont="1" applyAlignment="1">
      <alignment horizontal="center"/>
    </xf>
    <xf numFmtId="0" fontId="4" fillId="0" borderId="0" xfId="22" applyFont="1" applyAlignment="1">
      <alignment horizontal="center" wrapText="1"/>
    </xf>
    <xf numFmtId="165" fontId="4" fillId="0" borderId="0" xfId="22" applyNumberFormat="1" applyFont="1"/>
    <xf numFmtId="166" fontId="4" fillId="0" borderId="0" xfId="1" applyNumberFormat="1" applyFont="1" applyFill="1"/>
    <xf numFmtId="166" fontId="4" fillId="0" borderId="0" xfId="1" applyNumberFormat="1" applyFont="1"/>
    <xf numFmtId="0" fontId="35" fillId="0" borderId="0" xfId="22" applyFont="1"/>
    <xf numFmtId="0" fontId="3" fillId="0" borderId="0" xfId="22" applyFont="1"/>
    <xf numFmtId="0" fontId="4" fillId="2" borderId="25" xfId="22" applyFont="1" applyFill="1" applyBorder="1"/>
    <xf numFmtId="0" fontId="4" fillId="2" borderId="4" xfId="22" applyFont="1" applyFill="1" applyBorder="1"/>
    <xf numFmtId="0" fontId="4" fillId="2" borderId="26" xfId="22" applyFont="1" applyFill="1" applyBorder="1"/>
    <xf numFmtId="0" fontId="4" fillId="2" borderId="24" xfId="22" applyFont="1" applyFill="1" applyBorder="1"/>
    <xf numFmtId="0" fontId="4" fillId="0" borderId="0" xfId="0" applyNumberFormat="1" applyFont="1" applyAlignment="1">
      <alignment horizontal="center" wrapText="1"/>
    </xf>
    <xf numFmtId="0" fontId="4" fillId="0" borderId="0" xfId="23" applyFont="1" applyAlignment="1">
      <alignment horizontal="center" wrapText="1"/>
    </xf>
    <xf numFmtId="0" fontId="4" fillId="0" borderId="29" xfId="0" applyNumberFormat="1" applyFont="1" applyBorder="1" applyAlignment="1">
      <alignment horizontal="center" wrapText="1"/>
    </xf>
    <xf numFmtId="0" fontId="4" fillId="0" borderId="24" xfId="22" applyFont="1" applyBorder="1" applyAlignment="1">
      <alignment horizontal="center"/>
    </xf>
    <xf numFmtId="0" fontId="4" fillId="0" borderId="24" xfId="22" applyFont="1" applyBorder="1" applyAlignment="1">
      <alignment horizontal="center" wrapText="1"/>
    </xf>
    <xf numFmtId="0" fontId="4" fillId="0" borderId="0" xfId="22" applyFont="1" applyAlignment="1">
      <alignment horizontal="left" wrapText="1"/>
    </xf>
    <xf numFmtId="0" fontId="4" fillId="0" borderId="30" xfId="22" applyFont="1" applyBorder="1" applyAlignment="1">
      <alignment horizontal="center" wrapText="1"/>
    </xf>
    <xf numFmtId="0" fontId="4" fillId="0" borderId="31" xfId="22" applyFont="1" applyBorder="1" applyAlignment="1">
      <alignment horizontal="center" wrapText="1"/>
    </xf>
    <xf numFmtId="0" fontId="4" fillId="0" borderId="32" xfId="22" applyFont="1" applyBorder="1" applyAlignment="1">
      <alignment horizontal="center" wrapText="1"/>
    </xf>
    <xf numFmtId="0" fontId="4" fillId="0" borderId="33" xfId="22" applyFont="1" applyBorder="1" applyAlignment="1">
      <alignment horizontal="center"/>
    </xf>
    <xf numFmtId="0" fontId="4" fillId="0" borderId="34" xfId="22" applyFont="1" applyBorder="1"/>
    <xf numFmtId="0" fontId="4" fillId="0" borderId="35" xfId="22" applyFont="1" applyBorder="1" applyAlignment="1">
      <alignment horizontal="center" wrapText="1"/>
    </xf>
    <xf numFmtId="0" fontId="4" fillId="0" borderId="35" xfId="22" applyFont="1" applyBorder="1" applyAlignment="1">
      <alignment horizontal="center"/>
    </xf>
    <xf numFmtId="0" fontId="4" fillId="0" borderId="36" xfId="22" applyFont="1" applyBorder="1"/>
    <xf numFmtId="0" fontId="4" fillId="0" borderId="35" xfId="22" applyFont="1" applyBorder="1"/>
    <xf numFmtId="43" fontId="4" fillId="2" borderId="0" xfId="1" applyFont="1" applyFill="1" applyBorder="1" applyAlignment="1"/>
    <xf numFmtId="180" fontId="4" fillId="2" borderId="0" xfId="1" applyNumberFormat="1" applyFont="1" applyFill="1" applyBorder="1" applyAlignment="1">
      <alignment horizontal="center"/>
    </xf>
    <xf numFmtId="165" fontId="4" fillId="2" borderId="0" xfId="1" applyNumberFormat="1" applyFont="1" applyFill="1" applyBorder="1" applyAlignment="1">
      <alignment horizontal="center"/>
    </xf>
    <xf numFmtId="166" fontId="4" fillId="0" borderId="0" xfId="1" applyNumberFormat="1" applyFont="1" applyFill="1" applyBorder="1" applyAlignment="1">
      <alignment horizontal="center"/>
    </xf>
    <xf numFmtId="165" fontId="4" fillId="2" borderId="34" xfId="1" applyNumberFormat="1" applyFont="1" applyFill="1" applyBorder="1"/>
    <xf numFmtId="165" fontId="4" fillId="2" borderId="0" xfId="1" applyNumberFormat="1" applyFont="1" applyFill="1" applyBorder="1"/>
    <xf numFmtId="165" fontId="4" fillId="0" borderId="35" xfId="1" applyNumberFormat="1" applyFont="1" applyBorder="1"/>
    <xf numFmtId="165" fontId="4" fillId="0" borderId="35" xfId="1" applyNumberFormat="1" applyFont="1" applyFill="1" applyBorder="1"/>
    <xf numFmtId="165" fontId="4" fillId="0" borderId="36" xfId="22" applyNumberFormat="1" applyFont="1" applyBorder="1"/>
    <xf numFmtId="43" fontId="4" fillId="2" borderId="0" xfId="1" applyFont="1" applyFill="1" applyBorder="1" applyAlignment="1">
      <alignment horizontal="center"/>
    </xf>
    <xf numFmtId="165" fontId="4" fillId="2" borderId="34" xfId="1" applyNumberFormat="1" applyFont="1" applyFill="1" applyBorder="1" applyAlignment="1">
      <alignment horizontal="center"/>
    </xf>
    <xf numFmtId="43" fontId="4" fillId="2" borderId="34" xfId="1" applyFont="1" applyFill="1" applyBorder="1" applyAlignment="1">
      <alignment horizontal="center"/>
    </xf>
    <xf numFmtId="165" fontId="4" fillId="0" borderId="27" xfId="22" applyNumberFormat="1" applyFont="1" applyBorder="1"/>
    <xf numFmtId="165" fontId="4" fillId="0" borderId="3" xfId="22" applyNumberFormat="1" applyFont="1" applyBorder="1"/>
    <xf numFmtId="165" fontId="4" fillId="0" borderId="28" xfId="22" applyNumberFormat="1" applyFont="1" applyBorder="1"/>
    <xf numFmtId="165" fontId="4" fillId="0" borderId="35" xfId="22" applyNumberFormat="1" applyFont="1" applyBorder="1"/>
    <xf numFmtId="42" fontId="5" fillId="0" borderId="0" xfId="22" applyNumberFormat="1"/>
    <xf numFmtId="165" fontId="4" fillId="0" borderId="24" xfId="1" applyNumberFormat="1" applyFont="1" applyFill="1" applyBorder="1"/>
    <xf numFmtId="42" fontId="4" fillId="0" borderId="0" xfId="22" applyNumberFormat="1" applyFont="1"/>
    <xf numFmtId="164" fontId="4" fillId="6" borderId="24" xfId="0" applyFont="1" applyFill="1" applyBorder="1"/>
    <xf numFmtId="49" fontId="4" fillId="0" borderId="0" xfId="18" applyNumberFormat="1" applyFont="1" applyAlignment="1">
      <alignment horizontal="left"/>
    </xf>
    <xf numFmtId="0" fontId="4" fillId="0" borderId="25" xfId="22" applyFont="1" applyBorder="1" applyAlignment="1">
      <alignment horizontal="center" wrapText="1"/>
    </xf>
    <xf numFmtId="0" fontId="4" fillId="0" borderId="24" xfId="22" applyFont="1" applyBorder="1" applyAlignment="1">
      <alignment wrapText="1"/>
    </xf>
    <xf numFmtId="0" fontId="4" fillId="0" borderId="26" xfId="22" applyFont="1" applyBorder="1"/>
    <xf numFmtId="165" fontId="4" fillId="6" borderId="24" xfId="1" applyNumberFormat="1" applyFont="1" applyFill="1" applyBorder="1" applyAlignment="1"/>
    <xf numFmtId="165" fontId="4" fillId="6" borderId="24" xfId="1" applyNumberFormat="1" applyFont="1" applyFill="1" applyBorder="1" applyAlignment="1">
      <alignment horizontal="center"/>
    </xf>
    <xf numFmtId="165" fontId="4" fillId="0" borderId="24" xfId="1" applyNumberFormat="1" applyFont="1" applyFill="1" applyBorder="1" applyAlignment="1">
      <alignment horizontal="center"/>
    </xf>
    <xf numFmtId="165" fontId="4" fillId="0" borderId="0" xfId="1" applyNumberFormat="1" applyFont="1" applyAlignment="1">
      <alignment horizontal="left"/>
    </xf>
    <xf numFmtId="10" fontId="4" fillId="0" borderId="0" xfId="22" applyNumberFormat="1" applyFont="1"/>
    <xf numFmtId="164" fontId="29" fillId="0" borderId="0" xfId="0" applyFont="1"/>
    <xf numFmtId="164" fontId="4" fillId="0" borderId="0" xfId="0" applyFont="1" applyProtection="1">
      <protection locked="0"/>
    </xf>
    <xf numFmtId="0" fontId="50" fillId="0" borderId="0" xfId="18" applyNumberFormat="1" applyFont="1" applyAlignment="1" applyProtection="1">
      <alignment horizontal="center"/>
      <protection locked="0"/>
    </xf>
    <xf numFmtId="164" fontId="50" fillId="0" borderId="0" xfId="18" applyFont="1"/>
    <xf numFmtId="0" fontId="51" fillId="0" borderId="0" xfId="18" applyNumberFormat="1" applyFont="1"/>
    <xf numFmtId="0" fontId="50" fillId="0" borderId="0" xfId="18" applyNumberFormat="1" applyFont="1"/>
    <xf numFmtId="164" fontId="4" fillId="0" borderId="0" xfId="18" applyFont="1"/>
    <xf numFmtId="164" fontId="52" fillId="0" borderId="0" xfId="0" applyFont="1"/>
    <xf numFmtId="164" fontId="4" fillId="0" borderId="0" xfId="18" applyFont="1" applyAlignment="1">
      <alignment horizontal="center"/>
    </xf>
    <xf numFmtId="164" fontId="52" fillId="0" borderId="30" xfId="0" applyFont="1" applyBorder="1"/>
    <xf numFmtId="164" fontId="52" fillId="0" borderId="31" xfId="0" applyFont="1" applyBorder="1"/>
    <xf numFmtId="164" fontId="52" fillId="0" borderId="32" xfId="0" applyFont="1" applyBorder="1"/>
    <xf numFmtId="164" fontId="50" fillId="0" borderId="0" xfId="18" applyFont="1" applyAlignment="1">
      <alignment horizontal="center"/>
    </xf>
    <xf numFmtId="0" fontId="50" fillId="0" borderId="0" xfId="1" applyNumberFormat="1" applyFont="1" applyFill="1" applyBorder="1" applyAlignment="1">
      <alignment horizontal="center"/>
    </xf>
    <xf numFmtId="0" fontId="52" fillId="2" borderId="0" xfId="0" applyNumberFormat="1" applyFont="1" applyFill="1"/>
    <xf numFmtId="164" fontId="52" fillId="0" borderId="33" xfId="0" applyFont="1" applyBorder="1"/>
    <xf numFmtId="164" fontId="52" fillId="0" borderId="24" xfId="0" applyFont="1" applyBorder="1" applyAlignment="1">
      <alignment horizontal="center"/>
    </xf>
    <xf numFmtId="164" fontId="52" fillId="0" borderId="25" xfId="0" applyFont="1" applyBorder="1" applyAlignment="1">
      <alignment horizontal="center"/>
    </xf>
    <xf numFmtId="164" fontId="52" fillId="0" borderId="29" xfId="0" applyFont="1" applyBorder="1" applyAlignment="1">
      <alignment horizontal="center"/>
    </xf>
    <xf numFmtId="164" fontId="52" fillId="0" borderId="33" xfId="0" applyFont="1" applyBorder="1" applyAlignment="1">
      <alignment horizontal="center"/>
    </xf>
    <xf numFmtId="164" fontId="52" fillId="0" borderId="36" xfId="0" applyFont="1" applyBorder="1" applyAlignment="1">
      <alignment horizontal="center"/>
    </xf>
    <xf numFmtId="164" fontId="52" fillId="0" borderId="36" xfId="0" applyFont="1" applyBorder="1"/>
    <xf numFmtId="164" fontId="50" fillId="0" borderId="36" xfId="0" applyFont="1" applyBorder="1" applyAlignment="1">
      <alignment horizontal="center"/>
    </xf>
    <xf numFmtId="0" fontId="50" fillId="0" borderId="36" xfId="22" applyFont="1" applyBorder="1" applyAlignment="1">
      <alignment horizontal="center"/>
    </xf>
    <xf numFmtId="164" fontId="52" fillId="0" borderId="0" xfId="0" applyFont="1" applyAlignment="1">
      <alignment horizontal="center"/>
    </xf>
    <xf numFmtId="164" fontId="52" fillId="2" borderId="33" xfId="0" applyFont="1" applyFill="1" applyBorder="1"/>
    <xf numFmtId="165" fontId="52" fillId="2" borderId="30" xfId="1" applyNumberFormat="1" applyFont="1" applyFill="1" applyBorder="1"/>
    <xf numFmtId="165" fontId="52" fillId="2" borderId="30" xfId="1" applyNumberFormat="1" applyFont="1" applyFill="1" applyBorder="1" applyAlignment="1">
      <alignment horizontal="center"/>
    </xf>
    <xf numFmtId="165" fontId="52" fillId="0" borderId="33" xfId="1" applyNumberFormat="1" applyFont="1" applyFill="1" applyBorder="1"/>
    <xf numFmtId="165" fontId="52" fillId="2" borderId="33" xfId="1" applyNumberFormat="1" applyFont="1" applyFill="1" applyBorder="1"/>
    <xf numFmtId="165" fontId="52" fillId="0" borderId="33" xfId="1" applyNumberFormat="1" applyFont="1" applyBorder="1" applyAlignment="1">
      <alignment horizontal="center"/>
    </xf>
    <xf numFmtId="164" fontId="52" fillId="2" borderId="36" xfId="0" applyFont="1" applyFill="1" applyBorder="1"/>
    <xf numFmtId="43" fontId="52" fillId="2" borderId="34" xfId="1" applyFont="1" applyFill="1" applyBorder="1"/>
    <xf numFmtId="43" fontId="52" fillId="2" borderId="34" xfId="1" applyFont="1" applyFill="1" applyBorder="1" applyAlignment="1">
      <alignment horizontal="center"/>
    </xf>
    <xf numFmtId="43" fontId="52" fillId="0" borderId="36" xfId="1" applyFont="1" applyFill="1" applyBorder="1"/>
    <xf numFmtId="43" fontId="52" fillId="2" borderId="36" xfId="1" applyFont="1" applyFill="1" applyBorder="1"/>
    <xf numFmtId="43" fontId="52" fillId="0" borderId="36" xfId="1" applyFont="1" applyBorder="1"/>
    <xf numFmtId="164" fontId="52" fillId="2" borderId="29" xfId="0" applyFont="1" applyFill="1" applyBorder="1"/>
    <xf numFmtId="43" fontId="52" fillId="2" borderId="27" xfId="1" applyFont="1" applyFill="1" applyBorder="1"/>
    <xf numFmtId="43" fontId="52" fillId="2" borderId="27" xfId="1" applyFont="1" applyFill="1" applyBorder="1" applyAlignment="1">
      <alignment horizontal="center"/>
    </xf>
    <xf numFmtId="43" fontId="52" fillId="0" borderId="29" xfId="1" applyFont="1" applyFill="1" applyBorder="1"/>
    <xf numFmtId="43" fontId="52" fillId="2" borderId="29" xfId="1" applyFont="1" applyFill="1" applyBorder="1"/>
    <xf numFmtId="43" fontId="52" fillId="0" borderId="29" xfId="1" applyFont="1" applyBorder="1"/>
    <xf numFmtId="43" fontId="52" fillId="0" borderId="0" xfId="1" applyFont="1" applyFill="1" applyBorder="1"/>
    <xf numFmtId="43" fontId="52" fillId="0" borderId="0" xfId="1" applyFont="1" applyFill="1" applyBorder="1" applyAlignment="1">
      <alignment horizontal="center"/>
    </xf>
    <xf numFmtId="165" fontId="50" fillId="0" borderId="0" xfId="1" applyNumberFormat="1" applyFont="1" applyFill="1" applyBorder="1" applyAlignment="1"/>
    <xf numFmtId="165" fontId="52" fillId="0" borderId="0" xfId="1" applyNumberFormat="1" applyFont="1" applyFill="1" applyBorder="1"/>
    <xf numFmtId="165" fontId="50" fillId="0" borderId="0" xfId="1" applyNumberFormat="1" applyFont="1" applyAlignment="1">
      <alignment horizontal="left" vertical="top"/>
    </xf>
    <xf numFmtId="165" fontId="50" fillId="0" borderId="0" xfId="1" applyNumberFormat="1" applyFont="1"/>
    <xf numFmtId="170" fontId="50" fillId="0" borderId="0" xfId="3" applyNumberFormat="1" applyFont="1"/>
    <xf numFmtId="43" fontId="50" fillId="0" borderId="0" xfId="1" applyFont="1"/>
    <xf numFmtId="164" fontId="50" fillId="0" borderId="0" xfId="0" applyFont="1" applyProtection="1">
      <protection locked="0"/>
    </xf>
    <xf numFmtId="164" fontId="50" fillId="0" borderId="0" xfId="0" applyFont="1" applyAlignment="1">
      <alignment vertical="top" wrapText="1"/>
    </xf>
    <xf numFmtId="164" fontId="50" fillId="0" borderId="0" xfId="0" applyFont="1" applyAlignment="1">
      <alignment vertical="top"/>
    </xf>
    <xf numFmtId="164" fontId="51" fillId="0" borderId="0" xfId="18" applyFont="1"/>
    <xf numFmtId="164" fontId="50" fillId="0" borderId="0" xfId="0" applyFont="1" applyAlignment="1">
      <alignment horizontal="center"/>
    </xf>
    <xf numFmtId="49" fontId="50" fillId="0" borderId="0" xfId="1" applyNumberFormat="1" applyFont="1" applyAlignment="1">
      <alignment horizontal="center"/>
    </xf>
    <xf numFmtId="164" fontId="50" fillId="0" borderId="0" xfId="18" quotePrefix="1" applyFont="1" applyAlignment="1">
      <alignment horizontal="left"/>
    </xf>
    <xf numFmtId="164" fontId="50" fillId="0" borderId="0" xfId="18" applyFont="1" applyAlignment="1">
      <alignment horizontal="center" wrapText="1"/>
    </xf>
    <xf numFmtId="0" fontId="50" fillId="0" borderId="0" xfId="1" applyNumberFormat="1" applyFont="1" applyFill="1" applyAlignment="1">
      <alignment horizontal="left"/>
    </xf>
    <xf numFmtId="167" fontId="50" fillId="2" borderId="0" xfId="1" applyNumberFormat="1" applyFont="1" applyFill="1" applyAlignment="1"/>
    <xf numFmtId="43" fontId="50" fillId="0" borderId="0" xfId="1" applyFont="1" applyAlignment="1"/>
    <xf numFmtId="166" fontId="50" fillId="0" borderId="31" xfId="1" applyNumberFormat="1" applyFont="1" applyBorder="1" applyAlignment="1"/>
    <xf numFmtId="43" fontId="50" fillId="0" borderId="0" xfId="1" applyFont="1" applyBorder="1" applyAlignment="1"/>
    <xf numFmtId="164" fontId="50" fillId="0" borderId="0" xfId="18" applyFont="1" applyAlignment="1">
      <alignment horizontal="left"/>
    </xf>
    <xf numFmtId="166" fontId="50" fillId="0" borderId="0" xfId="1" applyNumberFormat="1" applyFont="1" applyAlignment="1"/>
    <xf numFmtId="0" fontId="50" fillId="0" borderId="0" xfId="0" applyNumberFormat="1" applyFont="1" applyAlignment="1">
      <alignment horizontal="center"/>
    </xf>
    <xf numFmtId="0" fontId="29" fillId="0" borderId="0" xfId="22" applyFont="1"/>
    <xf numFmtId="0" fontId="29" fillId="0" borderId="0" xfId="22" applyFont="1" applyAlignment="1">
      <alignment horizontal="center"/>
    </xf>
    <xf numFmtId="0" fontId="54" fillId="0" borderId="0" xfId="22" applyFont="1"/>
    <xf numFmtId="0" fontId="4" fillId="0" borderId="3" xfId="22" applyFont="1" applyBorder="1" applyAlignment="1">
      <alignment horizontal="center"/>
    </xf>
    <xf numFmtId="0" fontId="4" fillId="0" borderId="3" xfId="22" applyFont="1" applyBorder="1"/>
    <xf numFmtId="0" fontId="29" fillId="0" borderId="3" xfId="22" applyFont="1" applyBorder="1"/>
    <xf numFmtId="0" fontId="4" fillId="0" borderId="3" xfId="22" applyFont="1" applyBorder="1" applyAlignment="1">
      <alignment horizontal="center" wrapText="1"/>
    </xf>
    <xf numFmtId="0" fontId="4" fillId="0" borderId="0" xfId="22" applyFont="1" applyAlignment="1">
      <alignment horizontal="right"/>
    </xf>
    <xf numFmtId="43" fontId="29" fillId="0" borderId="0" xfId="1" applyFont="1" applyFill="1"/>
    <xf numFmtId="37" fontId="4" fillId="0" borderId="0" xfId="22" applyNumberFormat="1" applyFont="1"/>
    <xf numFmtId="43" fontId="4" fillId="0" borderId="0" xfId="22" applyNumberFormat="1" applyFont="1"/>
    <xf numFmtId="9" fontId="4" fillId="0" borderId="0" xfId="22" applyNumberFormat="1" applyFont="1" applyAlignment="1">
      <alignment horizontal="left"/>
    </xf>
    <xf numFmtId="37" fontId="4" fillId="0" borderId="0" xfId="22" applyNumberFormat="1" applyFont="1" applyAlignment="1">
      <alignment horizontal="left"/>
    </xf>
    <xf numFmtId="0" fontId="4" fillId="0" borderId="3" xfId="22" applyFont="1" applyBorder="1" applyAlignment="1">
      <alignment horizontal="right" vertical="top"/>
    </xf>
    <xf numFmtId="0" fontId="4" fillId="0" borderId="3" xfId="22" applyFont="1" applyBorder="1" applyAlignment="1">
      <alignment horizontal="center" vertical="top" wrapText="1"/>
    </xf>
    <xf numFmtId="0" fontId="4" fillId="2" borderId="0" xfId="1" applyNumberFormat="1" applyFont="1" applyFill="1" applyAlignment="1">
      <alignment horizontal="center"/>
    </xf>
    <xf numFmtId="43" fontId="29" fillId="0" borderId="0" xfId="22" applyNumberFormat="1" applyFont="1"/>
    <xf numFmtId="165" fontId="29" fillId="0" borderId="0" xfId="22" applyNumberFormat="1" applyFont="1"/>
    <xf numFmtId="10" fontId="29" fillId="0" borderId="0" xfId="22" applyNumberFormat="1" applyFont="1"/>
    <xf numFmtId="43" fontId="29" fillId="0" borderId="0" xfId="1" applyFont="1" applyFill="1" applyAlignment="1"/>
    <xf numFmtId="10" fontId="4" fillId="0" borderId="0" xfId="4" applyNumberFormat="1" applyFont="1" applyFill="1"/>
    <xf numFmtId="165" fontId="29" fillId="0" borderId="0" xfId="1" applyNumberFormat="1" applyFont="1" applyFill="1"/>
    <xf numFmtId="165" fontId="4" fillId="2" borderId="0" xfId="1" applyNumberFormat="1" applyFont="1" applyFill="1"/>
    <xf numFmtId="165" fontId="29" fillId="2" borderId="0" xfId="1" applyNumberFormat="1" applyFont="1" applyFill="1"/>
    <xf numFmtId="0" fontId="44" fillId="0" borderId="0" xfId="22" applyFont="1"/>
    <xf numFmtId="41" fontId="4" fillId="0" borderId="0" xfId="22" applyNumberFormat="1" applyFont="1" applyAlignment="1">
      <alignment horizontal="center"/>
    </xf>
    <xf numFmtId="41" fontId="55" fillId="0" borderId="0" xfId="22" applyNumberFormat="1" applyFont="1" applyAlignment="1">
      <alignment horizontal="center"/>
    </xf>
    <xf numFmtId="0" fontId="44" fillId="0" borderId="0" xfId="22" applyFont="1" applyAlignment="1">
      <alignment horizontal="right"/>
    </xf>
    <xf numFmtId="0" fontId="4" fillId="3" borderId="37" xfId="22" applyFont="1" applyFill="1" applyBorder="1"/>
    <xf numFmtId="41" fontId="4" fillId="3" borderId="24" xfId="22" applyNumberFormat="1" applyFont="1" applyFill="1" applyBorder="1"/>
    <xf numFmtId="41" fontId="4" fillId="3" borderId="24" xfId="2" applyFont="1" applyFill="1" applyBorder="1"/>
    <xf numFmtId="0" fontId="4" fillId="3" borderId="38" xfId="22" applyFont="1" applyFill="1" applyBorder="1" applyAlignment="1">
      <alignment wrapText="1"/>
    </xf>
    <xf numFmtId="0" fontId="4" fillId="3" borderId="37" xfId="22" applyFont="1" applyFill="1" applyBorder="1" applyAlignment="1">
      <alignment wrapText="1"/>
    </xf>
    <xf numFmtId="0" fontId="4" fillId="3" borderId="24" xfId="22" applyFont="1" applyFill="1" applyBorder="1"/>
    <xf numFmtId="0" fontId="4" fillId="9" borderId="37" xfId="22" applyFont="1" applyFill="1" applyBorder="1" applyAlignment="1">
      <alignment wrapText="1"/>
    </xf>
    <xf numFmtId="41" fontId="4" fillId="9" borderId="24" xfId="22" applyNumberFormat="1" applyFont="1" applyFill="1" applyBorder="1"/>
    <xf numFmtId="0" fontId="4" fillId="9" borderId="38" xfId="22" applyFont="1" applyFill="1" applyBorder="1" applyAlignment="1">
      <alignment wrapText="1"/>
    </xf>
    <xf numFmtId="0" fontId="4" fillId="0" borderId="39" xfId="22" applyFont="1" applyBorder="1"/>
    <xf numFmtId="165" fontId="4" fillId="0" borderId="24" xfId="1" applyNumberFormat="1" applyFont="1" applyBorder="1"/>
    <xf numFmtId="37" fontId="4" fillId="0" borderId="38" xfId="22" applyNumberFormat="1" applyFont="1" applyBorder="1" applyAlignment="1">
      <alignment wrapText="1"/>
    </xf>
    <xf numFmtId="0" fontId="4" fillId="0" borderId="40" xfId="22" applyFont="1" applyBorder="1"/>
    <xf numFmtId="165" fontId="4" fillId="3" borderId="24" xfId="1" applyNumberFormat="1" applyFont="1" applyFill="1" applyBorder="1"/>
    <xf numFmtId="165" fontId="4" fillId="3" borderId="24" xfId="1" applyNumberFormat="1" applyFont="1" applyFill="1" applyBorder="1" applyAlignment="1">
      <alignment horizontal="right"/>
    </xf>
    <xf numFmtId="165" fontId="4" fillId="3" borderId="24" xfId="1" applyNumberFormat="1" applyFont="1" applyFill="1" applyBorder="1" applyAlignment="1">
      <alignment horizontal="center"/>
    </xf>
    <xf numFmtId="0" fontId="4" fillId="0" borderId="41" xfId="22" applyFont="1" applyBorder="1"/>
    <xf numFmtId="165" fontId="4" fillId="3" borderId="33" xfId="1" applyNumberFormat="1" applyFont="1" applyFill="1" applyBorder="1"/>
    <xf numFmtId="0" fontId="4" fillId="3" borderId="42" xfId="22" applyFont="1" applyFill="1" applyBorder="1" applyAlignment="1">
      <alignment wrapText="1"/>
    </xf>
    <xf numFmtId="0" fontId="4" fillId="0" borderId="43" xfId="22" applyFont="1" applyBorder="1"/>
    <xf numFmtId="165" fontId="4" fillId="0" borderId="44" xfId="1" applyNumberFormat="1" applyFont="1" applyFill="1" applyBorder="1"/>
    <xf numFmtId="0" fontId="4" fillId="0" borderId="45" xfId="22" applyFont="1" applyBorder="1" applyAlignment="1">
      <alignment wrapText="1"/>
    </xf>
    <xf numFmtId="37" fontId="4" fillId="0" borderId="0" xfId="22" applyNumberFormat="1" applyFont="1" applyAlignment="1">
      <alignment horizontal="center"/>
    </xf>
    <xf numFmtId="37" fontId="4" fillId="0" borderId="0" xfId="22" applyNumberFormat="1" applyFont="1" applyAlignment="1">
      <alignment wrapText="1"/>
    </xf>
    <xf numFmtId="0" fontId="4" fillId="0" borderId="0" xfId="22" applyFont="1" applyAlignment="1">
      <alignment wrapText="1"/>
    </xf>
    <xf numFmtId="37" fontId="4" fillId="3" borderId="24" xfId="22" applyNumberFormat="1" applyFont="1" applyFill="1" applyBorder="1"/>
    <xf numFmtId="41" fontId="4" fillId="9" borderId="24" xfId="2" applyFont="1" applyFill="1" applyBorder="1"/>
    <xf numFmtId="0" fontId="4" fillId="0" borderId="37" xfId="22" applyFont="1" applyBorder="1"/>
    <xf numFmtId="0" fontId="4" fillId="0" borderId="46" xfId="22" applyFont="1" applyBorder="1"/>
    <xf numFmtId="0" fontId="4" fillId="3" borderId="37" xfId="25" applyFont="1" applyFill="1" applyBorder="1"/>
    <xf numFmtId="41" fontId="4" fillId="0" borderId="0" xfId="2" applyFont="1" applyFill="1" applyBorder="1"/>
    <xf numFmtId="0" fontId="4" fillId="0" borderId="47" xfId="22" applyFont="1" applyBorder="1"/>
    <xf numFmtId="165" fontId="4" fillId="3" borderId="33" xfId="1" applyNumberFormat="1" applyFont="1" applyFill="1" applyBorder="1" applyAlignment="1">
      <alignment horizontal="right"/>
    </xf>
    <xf numFmtId="165" fontId="4" fillId="0" borderId="44" xfId="1" applyNumberFormat="1" applyFont="1" applyFill="1" applyBorder="1" applyAlignment="1">
      <alignment horizontal="right"/>
    </xf>
    <xf numFmtId="165" fontId="4" fillId="0" borderId="0" xfId="22" applyNumberFormat="1" applyFont="1" applyAlignment="1">
      <alignment wrapText="1"/>
    </xf>
    <xf numFmtId="0" fontId="4" fillId="0" borderId="0" xfId="22" applyFont="1" applyAlignment="1">
      <alignment horizontal="centerContinuous"/>
    </xf>
    <xf numFmtId="0" fontId="29" fillId="0" borderId="3" xfId="22" applyFont="1" applyBorder="1" applyAlignment="1">
      <alignment horizontal="center" wrapText="1"/>
    </xf>
    <xf numFmtId="43" fontId="29" fillId="0" borderId="0" xfId="1" applyFont="1"/>
    <xf numFmtId="41" fontId="4" fillId="2" borderId="24" xfId="2" applyFont="1" applyFill="1" applyBorder="1"/>
    <xf numFmtId="165" fontId="29" fillId="0" borderId="0" xfId="1" applyNumberFormat="1" applyFont="1"/>
    <xf numFmtId="0" fontId="4" fillId="0" borderId="0" xfId="1" applyNumberFormat="1" applyFont="1" applyFill="1" applyAlignment="1">
      <alignment horizontal="center"/>
    </xf>
    <xf numFmtId="0" fontId="56" fillId="0" borderId="0" xfId="22" applyFont="1" applyAlignment="1">
      <alignment horizontal="center"/>
    </xf>
    <xf numFmtId="0" fontId="56" fillId="0" borderId="0" xfId="22" applyFont="1"/>
    <xf numFmtId="165" fontId="56" fillId="0" borderId="0" xfId="22" applyNumberFormat="1" applyFont="1"/>
    <xf numFmtId="9" fontId="56" fillId="0" borderId="0" xfId="4" applyFont="1" applyFill="1" applyAlignment="1"/>
    <xf numFmtId="165" fontId="56" fillId="0" borderId="0" xfId="1" applyNumberFormat="1" applyFont="1" applyFill="1" applyAlignment="1"/>
    <xf numFmtId="0" fontId="56" fillId="0" borderId="0" xfId="22" applyFont="1" applyAlignment="1">
      <alignment horizontal="left"/>
    </xf>
    <xf numFmtId="0" fontId="56" fillId="0" borderId="8" xfId="22" applyFont="1" applyBorder="1" applyAlignment="1">
      <alignment horizontal="center"/>
    </xf>
    <xf numFmtId="0" fontId="56" fillId="10" borderId="0" xfId="22" applyFont="1" applyFill="1" applyAlignment="1">
      <alignment horizontal="center"/>
    </xf>
    <xf numFmtId="0" fontId="56" fillId="10" borderId="9" xfId="22" applyFont="1" applyFill="1" applyBorder="1" applyAlignment="1">
      <alignment horizontal="center"/>
    </xf>
    <xf numFmtId="0" fontId="56" fillId="0" borderId="3" xfId="22" applyFont="1" applyBorder="1" applyAlignment="1">
      <alignment horizontal="right" vertical="top"/>
    </xf>
    <xf numFmtId="0" fontId="56" fillId="0" borderId="3" xfId="22" applyFont="1" applyBorder="1" applyAlignment="1">
      <alignment horizontal="center" vertical="top" wrapText="1"/>
    </xf>
    <xf numFmtId="0" fontId="56" fillId="0" borderId="16" xfId="22" applyFont="1" applyBorder="1" applyAlignment="1">
      <alignment horizontal="center" vertical="top" wrapText="1"/>
    </xf>
    <xf numFmtId="0" fontId="56" fillId="0" borderId="10" xfId="22" applyFont="1" applyBorder="1" applyAlignment="1">
      <alignment horizontal="center" vertical="top" wrapText="1"/>
    </xf>
    <xf numFmtId="0" fontId="56" fillId="0" borderId="8" xfId="22" applyFont="1" applyBorder="1"/>
    <xf numFmtId="0" fontId="56" fillId="0" borderId="9" xfId="22" applyFont="1" applyBorder="1"/>
    <xf numFmtId="0" fontId="56" fillId="0" borderId="0" xfId="22" applyFont="1" applyAlignment="1">
      <alignment horizontal="right"/>
    </xf>
    <xf numFmtId="0" fontId="56" fillId="2" borderId="0" xfId="1" applyNumberFormat="1" applyFont="1" applyFill="1" applyAlignment="1">
      <alignment horizontal="center"/>
    </xf>
    <xf numFmtId="10" fontId="56" fillId="0" borderId="0" xfId="4" applyNumberFormat="1" applyFont="1" applyFill="1"/>
    <xf numFmtId="165" fontId="56" fillId="0" borderId="8" xfId="1" applyNumberFormat="1" applyFont="1" applyFill="1" applyBorder="1"/>
    <xf numFmtId="165" fontId="56" fillId="0" borderId="0" xfId="1" applyNumberFormat="1" applyFont="1" applyFill="1" applyBorder="1"/>
    <xf numFmtId="165" fontId="56" fillId="0" borderId="9" xfId="1" applyNumberFormat="1" applyFont="1" applyFill="1" applyBorder="1"/>
    <xf numFmtId="165" fontId="56" fillId="2" borderId="0" xfId="1" applyNumberFormat="1" applyFont="1" applyFill="1" applyBorder="1"/>
    <xf numFmtId="165" fontId="56" fillId="9" borderId="0" xfId="1" applyNumberFormat="1" applyFont="1" applyFill="1" applyBorder="1"/>
    <xf numFmtId="165" fontId="56" fillId="9" borderId="9" xfId="1" applyNumberFormat="1" applyFont="1" applyFill="1" applyBorder="1"/>
    <xf numFmtId="165" fontId="56" fillId="0" borderId="16" xfId="1" applyNumberFormat="1" applyFont="1" applyFill="1" applyBorder="1"/>
    <xf numFmtId="165" fontId="56" fillId="0" borderId="3" xfId="1" applyNumberFormat="1" applyFont="1" applyFill="1" applyBorder="1"/>
    <xf numFmtId="165" fontId="56" fillId="2" borderId="3" xfId="1" applyNumberFormat="1" applyFont="1" applyFill="1" applyBorder="1"/>
    <xf numFmtId="165" fontId="56" fillId="0" borderId="0" xfId="1" applyNumberFormat="1" applyFont="1" applyFill="1"/>
    <xf numFmtId="165" fontId="56" fillId="0" borderId="31" xfId="1" applyNumberFormat="1" applyFont="1" applyFill="1" applyBorder="1"/>
    <xf numFmtId="165" fontId="56" fillId="0" borderId="48" xfId="1" applyNumberFormat="1" applyFont="1" applyFill="1" applyBorder="1"/>
    <xf numFmtId="165" fontId="56" fillId="0" borderId="11" xfId="1" applyNumberFormat="1" applyFont="1" applyFill="1" applyBorder="1"/>
    <xf numFmtId="165" fontId="56" fillId="0" borderId="1" xfId="1" applyNumberFormat="1" applyFont="1" applyFill="1" applyBorder="1"/>
    <xf numFmtId="165" fontId="56" fillId="0" borderId="49" xfId="1" applyNumberFormat="1" applyFont="1" applyFill="1" applyBorder="1"/>
    <xf numFmtId="165" fontId="56" fillId="0" borderId="50" xfId="1" applyNumberFormat="1" applyFont="1" applyFill="1" applyBorder="1"/>
    <xf numFmtId="165" fontId="56" fillId="0" borderId="51" xfId="1" applyNumberFormat="1" applyFont="1" applyFill="1" applyBorder="1"/>
    <xf numFmtId="165" fontId="56" fillId="0" borderId="0" xfId="1" applyNumberFormat="1" applyFont="1"/>
    <xf numFmtId="0" fontId="57" fillId="0" borderId="0" xfId="22" applyFont="1"/>
    <xf numFmtId="41" fontId="56" fillId="0" borderId="0" xfId="22" applyNumberFormat="1" applyFont="1" applyAlignment="1">
      <alignment horizontal="center"/>
    </xf>
    <xf numFmtId="0" fontId="57" fillId="0" borderId="0" xfId="22" applyFont="1" applyAlignment="1">
      <alignment horizontal="right"/>
    </xf>
    <xf numFmtId="164" fontId="59" fillId="0" borderId="0" xfId="0" applyFont="1"/>
    <xf numFmtId="7" fontId="61" fillId="0" borderId="0" xfId="26" applyFont="1"/>
    <xf numFmtId="7" fontId="61" fillId="0" borderId="0" xfId="26" applyFont="1" applyAlignment="1">
      <alignment horizontal="center"/>
    </xf>
    <xf numFmtId="164" fontId="62" fillId="0" borderId="0" xfId="0" applyFont="1" applyProtection="1">
      <protection locked="0"/>
    </xf>
    <xf numFmtId="7" fontId="63" fillId="0" borderId="0" xfId="26" applyFont="1" applyAlignment="1">
      <alignment horizontal="center"/>
    </xf>
    <xf numFmtId="7" fontId="63" fillId="0" borderId="0" xfId="26" applyFont="1"/>
    <xf numFmtId="171" fontId="64" fillId="0" borderId="0" xfId="27" applyNumberFormat="1" applyFont="1" applyFill="1" applyAlignment="1">
      <alignment horizontal="center"/>
    </xf>
    <xf numFmtId="43" fontId="59" fillId="0" borderId="0" xfId="1" applyFont="1" applyAlignment="1"/>
    <xf numFmtId="183" fontId="63" fillId="0" borderId="0" xfId="1" applyNumberFormat="1" applyFont="1" applyFill="1" applyAlignment="1">
      <alignment horizontal="left"/>
    </xf>
    <xf numFmtId="171" fontId="63" fillId="0" borderId="0" xfId="27" applyNumberFormat="1" applyFont="1" applyFill="1" applyAlignment="1">
      <alignment horizontal="center"/>
    </xf>
    <xf numFmtId="171" fontId="65" fillId="0" borderId="0" xfId="27" applyNumberFormat="1" applyFont="1" applyFill="1" applyAlignment="1">
      <alignment horizontal="center"/>
    </xf>
    <xf numFmtId="164" fontId="66" fillId="0" borderId="0" xfId="0" applyFont="1"/>
    <xf numFmtId="171" fontId="0" fillId="0" borderId="0" xfId="4" applyNumberFormat="1" applyFont="1" applyFill="1" applyAlignment="1">
      <alignment horizontal="center"/>
    </xf>
    <xf numFmtId="10" fontId="59" fillId="11" borderId="0" xfId="4" applyNumberFormat="1" applyFont="1" applyFill="1" applyAlignment="1"/>
    <xf numFmtId="183" fontId="61" fillId="0" borderId="0" xfId="1" applyNumberFormat="1" applyFont="1" applyFill="1" applyAlignment="1">
      <alignment horizontal="left"/>
    </xf>
    <xf numFmtId="171" fontId="63" fillId="0" borderId="0" xfId="27" applyNumberFormat="1" applyFont="1" applyFill="1"/>
    <xf numFmtId="10" fontId="63" fillId="0" borderId="0" xfId="26" applyNumberFormat="1" applyFont="1"/>
    <xf numFmtId="49" fontId="63" fillId="0" borderId="0" xfId="0" applyNumberFormat="1" applyFont="1"/>
    <xf numFmtId="2" fontId="4" fillId="0" borderId="0" xfId="0" applyNumberFormat="1" applyFont="1"/>
    <xf numFmtId="164" fontId="63" fillId="0" borderId="0" xfId="0" applyFont="1" applyAlignment="1">
      <alignment horizontal="left" vertical="center" wrapText="1"/>
    </xf>
    <xf numFmtId="7" fontId="63" fillId="0" borderId="0" xfId="26" applyFont="1" applyAlignment="1">
      <alignment horizontal="left"/>
    </xf>
    <xf numFmtId="0" fontId="10" fillId="0" borderId="0" xfId="28" applyFont="1"/>
    <xf numFmtId="49" fontId="10" fillId="0" borderId="0" xfId="28" applyNumberFormat="1" applyFont="1"/>
    <xf numFmtId="165" fontId="10" fillId="0" borderId="0" xfId="29" applyNumberFormat="1" applyFont="1"/>
    <xf numFmtId="165" fontId="10" fillId="0" borderId="0" xfId="29" applyNumberFormat="1" applyFont="1" applyFill="1"/>
    <xf numFmtId="0" fontId="68" fillId="0" borderId="0" xfId="28" applyFont="1"/>
    <xf numFmtId="0" fontId="10" fillId="0" borderId="0" xfId="28" applyFont="1" applyAlignment="1">
      <alignment horizontal="center"/>
    </xf>
    <xf numFmtId="49" fontId="10" fillId="0" borderId="0" xfId="28" applyNumberFormat="1" applyFont="1" applyAlignment="1">
      <alignment horizontal="center"/>
    </xf>
    <xf numFmtId="165" fontId="10" fillId="0" borderId="0" xfId="29" applyNumberFormat="1" applyFont="1" applyAlignment="1">
      <alignment horizontal="center"/>
    </xf>
    <xf numFmtId="10" fontId="10" fillId="0" borderId="0" xfId="30" applyNumberFormat="1" applyFont="1" applyAlignment="1">
      <alignment horizontal="center"/>
    </xf>
    <xf numFmtId="0" fontId="69" fillId="0" borderId="0" xfId="28" applyFont="1" applyAlignment="1">
      <alignment horizontal="center"/>
    </xf>
    <xf numFmtId="49" fontId="10" fillId="0" borderId="0" xfId="28" applyNumberFormat="1" applyFont="1" applyAlignment="1">
      <alignment horizontal="center" wrapText="1"/>
    </xf>
    <xf numFmtId="49" fontId="10" fillId="0" borderId="0" xfId="29" applyNumberFormat="1" applyFont="1" applyBorder="1" applyAlignment="1">
      <alignment horizontal="center" wrapText="1"/>
    </xf>
    <xf numFmtId="0" fontId="68" fillId="0" borderId="0" xfId="28" applyFont="1" applyAlignment="1">
      <alignment horizontal="center" wrapText="1"/>
    </xf>
    <xf numFmtId="0" fontId="70" fillId="2" borderId="0" xfId="29" applyNumberFormat="1" applyFont="1" applyFill="1" applyBorder="1" applyAlignment="1">
      <alignment horizontal="center" wrapText="1"/>
    </xf>
    <xf numFmtId="0" fontId="10" fillId="2" borderId="0" xfId="28" applyFont="1" applyFill="1"/>
    <xf numFmtId="49" fontId="10" fillId="2" borderId="52" xfId="29" applyNumberFormat="1" applyFont="1" applyFill="1" applyBorder="1" applyAlignment="1">
      <alignment horizontal="left"/>
    </xf>
    <xf numFmtId="165" fontId="10" fillId="2" borderId="52" xfId="29" applyNumberFormat="1" applyFont="1" applyFill="1" applyBorder="1"/>
    <xf numFmtId="165" fontId="10" fillId="0" borderId="52" xfId="29" applyNumberFormat="1" applyFont="1" applyBorder="1"/>
    <xf numFmtId="49" fontId="10" fillId="2" borderId="53" xfId="29" applyNumberFormat="1" applyFont="1" applyFill="1" applyBorder="1"/>
    <xf numFmtId="165" fontId="10" fillId="2" borderId="53" xfId="29" applyNumberFormat="1" applyFont="1" applyFill="1" applyBorder="1"/>
    <xf numFmtId="165" fontId="10" fillId="0" borderId="53" xfId="29" applyNumberFormat="1" applyFont="1" applyBorder="1"/>
    <xf numFmtId="43" fontId="10" fillId="2" borderId="53" xfId="1" applyFont="1" applyFill="1" applyBorder="1"/>
    <xf numFmtId="165" fontId="10" fillId="0" borderId="54" xfId="29" applyNumberFormat="1" applyFont="1" applyBorder="1"/>
    <xf numFmtId="165" fontId="10" fillId="2" borderId="54" xfId="29" applyNumberFormat="1" applyFont="1" applyFill="1" applyBorder="1"/>
    <xf numFmtId="165" fontId="10" fillId="0" borderId="31" xfId="29" applyNumberFormat="1" applyFont="1" applyBorder="1" applyAlignment="1">
      <alignment horizontal="right"/>
    </xf>
    <xf numFmtId="170" fontId="10" fillId="0" borderId="31" xfId="31" applyNumberFormat="1" applyFont="1" applyBorder="1" applyAlignment="1"/>
    <xf numFmtId="165" fontId="10" fillId="0" borderId="0" xfId="29" applyNumberFormat="1" applyFont="1" applyBorder="1" applyAlignment="1"/>
    <xf numFmtId="165" fontId="10" fillId="0" borderId="0" xfId="29" applyNumberFormat="1" applyFont="1" applyAlignment="1"/>
    <xf numFmtId="49" fontId="10" fillId="0" borderId="0" xfId="28" applyNumberFormat="1" applyFont="1" applyAlignment="1">
      <alignment horizontal="right"/>
    </xf>
    <xf numFmtId="49" fontId="10" fillId="0" borderId="0" xfId="28" applyNumberFormat="1" applyFont="1" applyAlignment="1">
      <alignment vertical="top" wrapText="1"/>
    </xf>
    <xf numFmtId="49" fontId="10" fillId="0" borderId="0" xfId="28" applyNumberFormat="1" applyFont="1" applyAlignment="1">
      <alignment vertical="top"/>
    </xf>
    <xf numFmtId="49" fontId="10" fillId="0" borderId="0" xfId="29" applyNumberFormat="1" applyFont="1" applyAlignment="1">
      <alignment horizontal="right"/>
    </xf>
    <xf numFmtId="49" fontId="10" fillId="0" borderId="0" xfId="29" applyNumberFormat="1" applyFont="1" applyAlignment="1">
      <alignment horizontal="right" vertical="top" wrapText="1"/>
    </xf>
    <xf numFmtId="49" fontId="10" fillId="0" borderId="0" xfId="29" applyNumberFormat="1" applyFont="1" applyAlignment="1">
      <alignment vertical="top" wrapText="1"/>
    </xf>
    <xf numFmtId="0" fontId="68" fillId="0" borderId="0" xfId="28" applyFont="1" applyAlignment="1">
      <alignment horizontal="right"/>
    </xf>
    <xf numFmtId="0" fontId="70" fillId="0" borderId="0" xfId="28" applyFont="1"/>
    <xf numFmtId="10" fontId="10" fillId="0" borderId="0" xfId="30" applyNumberFormat="1" applyFont="1"/>
    <xf numFmtId="0" fontId="10" fillId="0" borderId="0" xfId="28" applyFont="1" applyAlignment="1">
      <alignment horizontal="right"/>
    </xf>
    <xf numFmtId="0" fontId="70" fillId="0" borderId="0" xfId="28" applyFont="1" applyAlignment="1">
      <alignment horizontal="center"/>
    </xf>
    <xf numFmtId="165" fontId="70" fillId="0" borderId="0" xfId="29" applyNumberFormat="1" applyFont="1" applyAlignment="1">
      <alignment horizontal="center"/>
    </xf>
    <xf numFmtId="10" fontId="70" fillId="0" borderId="0" xfId="30" applyNumberFormat="1" applyFont="1" applyAlignment="1">
      <alignment horizontal="center"/>
    </xf>
    <xf numFmtId="0" fontId="70" fillId="0" borderId="3" xfId="28" applyFont="1" applyBorder="1" applyAlignment="1">
      <alignment horizontal="center" wrapText="1"/>
    </xf>
    <xf numFmtId="49" fontId="70" fillId="0" borderId="0" xfId="29" applyNumberFormat="1" applyFont="1" applyBorder="1" applyAlignment="1">
      <alignment horizontal="center" wrapText="1"/>
    </xf>
    <xf numFmtId="0" fontId="70" fillId="0" borderId="0" xfId="28" applyFont="1" applyAlignment="1">
      <alignment horizontal="center" wrapText="1"/>
    </xf>
    <xf numFmtId="49" fontId="70" fillId="2" borderId="0" xfId="29" applyNumberFormat="1" applyFont="1" applyFill="1" applyBorder="1" applyAlignment="1">
      <alignment horizontal="center" wrapText="1"/>
    </xf>
    <xf numFmtId="0" fontId="10" fillId="0" borderId="55" xfId="28" applyFont="1" applyBorder="1"/>
    <xf numFmtId="165" fontId="10" fillId="12" borderId="53" xfId="29" applyNumberFormat="1" applyFont="1" applyFill="1" applyBorder="1"/>
    <xf numFmtId="165" fontId="10" fillId="0" borderId="55" xfId="29" applyNumberFormat="1" applyFont="1" applyFill="1" applyBorder="1" applyAlignment="1"/>
    <xf numFmtId="165" fontId="10" fillId="12" borderId="55" xfId="29" applyNumberFormat="1" applyFont="1" applyFill="1" applyBorder="1"/>
    <xf numFmtId="165" fontId="10" fillId="0" borderId="55" xfId="29" applyNumberFormat="1" applyFont="1" applyBorder="1" applyAlignment="1"/>
    <xf numFmtId="0" fontId="10" fillId="0" borderId="53" xfId="28" applyFont="1" applyBorder="1"/>
    <xf numFmtId="165" fontId="10" fillId="0" borderId="55" xfId="29" applyNumberFormat="1" applyFont="1" applyBorder="1"/>
    <xf numFmtId="165" fontId="10" fillId="2" borderId="53" xfId="1" applyNumberFormat="1" applyFont="1" applyFill="1" applyBorder="1" applyAlignment="1"/>
    <xf numFmtId="0" fontId="68" fillId="0" borderId="55" xfId="28" applyFont="1" applyBorder="1"/>
    <xf numFmtId="165" fontId="10" fillId="0" borderId="53" xfId="1" applyNumberFormat="1" applyFont="1" applyBorder="1"/>
    <xf numFmtId="0" fontId="10" fillId="7" borderId="53" xfId="28" applyFont="1" applyFill="1" applyBorder="1" applyAlignment="1">
      <alignment horizontal="right"/>
    </xf>
    <xf numFmtId="0" fontId="10" fillId="12" borderId="53" xfId="28" applyFont="1" applyFill="1" applyBorder="1"/>
    <xf numFmtId="165" fontId="10" fillId="0" borderId="53" xfId="29" applyNumberFormat="1" applyFont="1" applyFill="1" applyBorder="1"/>
    <xf numFmtId="165" fontId="10" fillId="0" borderId="53" xfId="29" applyNumberFormat="1" applyFont="1" applyFill="1" applyBorder="1" applyAlignment="1"/>
    <xf numFmtId="165" fontId="10" fillId="0" borderId="53" xfId="29" applyNumberFormat="1" applyFont="1" applyBorder="1" applyAlignment="1"/>
    <xf numFmtId="0" fontId="10" fillId="2" borderId="53" xfId="28" applyFont="1" applyFill="1" applyBorder="1"/>
    <xf numFmtId="165" fontId="10" fillId="2" borderId="53" xfId="28" applyNumberFormat="1" applyFont="1" applyFill="1" applyBorder="1"/>
    <xf numFmtId="43" fontId="10" fillId="0" borderId="53" xfId="29" applyFont="1" applyBorder="1"/>
    <xf numFmtId="0" fontId="68" fillId="0" borderId="53" xfId="28" applyFont="1" applyBorder="1"/>
    <xf numFmtId="43" fontId="68" fillId="0" borderId="53" xfId="28" applyNumberFormat="1" applyFont="1" applyBorder="1"/>
    <xf numFmtId="165" fontId="10" fillId="0" borderId="54" xfId="29" applyNumberFormat="1" applyFont="1" applyFill="1" applyBorder="1" applyAlignment="1"/>
    <xf numFmtId="165" fontId="10" fillId="0" borderId="54" xfId="29" applyNumberFormat="1" applyFont="1" applyFill="1" applyBorder="1"/>
    <xf numFmtId="165" fontId="10" fillId="0" borderId="54" xfId="29" applyNumberFormat="1" applyFont="1" applyBorder="1" applyAlignment="1"/>
    <xf numFmtId="0" fontId="10" fillId="0" borderId="54" xfId="28" applyFont="1" applyBorder="1"/>
    <xf numFmtId="0" fontId="10" fillId="2" borderId="54" xfId="28" applyFont="1" applyFill="1" applyBorder="1"/>
    <xf numFmtId="43" fontId="10" fillId="0" borderId="54" xfId="29" applyFont="1" applyBorder="1"/>
    <xf numFmtId="0" fontId="68" fillId="0" borderId="54" xfId="28" applyFont="1" applyBorder="1"/>
    <xf numFmtId="43" fontId="68" fillId="0" borderId="54" xfId="28" applyNumberFormat="1" applyFont="1" applyBorder="1"/>
    <xf numFmtId="165" fontId="10" fillId="7" borderId="54" xfId="28" applyNumberFormat="1" applyFont="1" applyFill="1" applyBorder="1" applyAlignment="1">
      <alignment horizontal="right"/>
    </xf>
    <xf numFmtId="165" fontId="10" fillId="0" borderId="54" xfId="28" applyNumberFormat="1" applyFont="1" applyBorder="1"/>
    <xf numFmtId="0" fontId="10" fillId="7" borderId="54" xfId="28" applyFont="1" applyFill="1" applyBorder="1" applyAlignment="1">
      <alignment horizontal="right"/>
    </xf>
    <xf numFmtId="0" fontId="71" fillId="0" borderId="0" xfId="28" applyFont="1"/>
    <xf numFmtId="165" fontId="10" fillId="0" borderId="31" xfId="29" applyNumberFormat="1" applyFont="1" applyBorder="1" applyAlignment="1"/>
    <xf numFmtId="180" fontId="10" fillId="0" borderId="31" xfId="1" applyNumberFormat="1" applyFont="1" applyBorder="1"/>
    <xf numFmtId="0" fontId="10" fillId="0" borderId="0" xfId="28" applyFont="1" applyAlignment="1">
      <alignment horizontal="left"/>
    </xf>
    <xf numFmtId="43" fontId="10" fillId="0" borderId="31" xfId="29" applyFont="1" applyBorder="1" applyAlignment="1"/>
    <xf numFmtId="165" fontId="71" fillId="0" borderId="31" xfId="1" applyNumberFormat="1" applyFont="1" applyBorder="1"/>
    <xf numFmtId="43" fontId="10" fillId="0" borderId="0" xfId="28" applyNumberFormat="1" applyFont="1"/>
    <xf numFmtId="10" fontId="68" fillId="0" borderId="0" xfId="30" applyNumberFormat="1" applyFont="1"/>
    <xf numFmtId="0" fontId="10" fillId="0" borderId="0" xfId="28" applyFont="1" applyAlignment="1">
      <alignment horizontal="left" vertical="top" wrapText="1"/>
    </xf>
    <xf numFmtId="49" fontId="10" fillId="0" borderId="0" xfId="28" applyNumberFormat="1" applyFont="1" applyAlignment="1">
      <alignment horizontal="right" vertical="top" wrapText="1"/>
    </xf>
    <xf numFmtId="49" fontId="10" fillId="0" borderId="0" xfId="28" applyNumberFormat="1" applyFont="1" applyAlignment="1">
      <alignment horizontal="right" vertical="top"/>
    </xf>
    <xf numFmtId="0" fontId="10" fillId="0" borderId="0" xfId="28" applyFont="1" applyAlignment="1">
      <alignment horizontal="left" vertical="top"/>
    </xf>
    <xf numFmtId="0" fontId="10" fillId="0" borderId="0" xfId="28" applyFont="1" applyAlignment="1">
      <alignment vertical="top"/>
    </xf>
    <xf numFmtId="0" fontId="10" fillId="0" borderId="0" xfId="28" applyFont="1" applyAlignment="1">
      <alignment vertical="top" wrapText="1"/>
    </xf>
    <xf numFmtId="164" fontId="3" fillId="0" borderId="0" xfId="0" applyFont="1"/>
    <xf numFmtId="165" fontId="10" fillId="0" borderId="55" xfId="29" applyNumberFormat="1" applyFont="1" applyFill="1" applyBorder="1"/>
    <xf numFmtId="41" fontId="72" fillId="2" borderId="0" xfId="0" applyNumberFormat="1" applyFont="1" applyFill="1"/>
    <xf numFmtId="43" fontId="68" fillId="0" borderId="55" xfId="28" applyNumberFormat="1" applyFont="1" applyBorder="1"/>
    <xf numFmtId="0" fontId="10" fillId="7" borderId="0" xfId="28" applyFont="1" applyFill="1" applyAlignment="1">
      <alignment horizontal="right"/>
    </xf>
    <xf numFmtId="0" fontId="10" fillId="7" borderId="55" xfId="28" applyFont="1" applyFill="1" applyBorder="1" applyAlignment="1">
      <alignment horizontal="right"/>
    </xf>
    <xf numFmtId="43" fontId="68" fillId="0" borderId="0" xfId="28" applyNumberFormat="1" applyFont="1"/>
    <xf numFmtId="43" fontId="71" fillId="0" borderId="31" xfId="1" applyFont="1" applyBorder="1"/>
    <xf numFmtId="165" fontId="68" fillId="0" borderId="0" xfId="29" applyNumberFormat="1" applyFont="1"/>
    <xf numFmtId="0" fontId="68" fillId="0" borderId="0" xfId="28" applyFont="1" applyAlignment="1">
      <alignment horizontal="center"/>
    </xf>
    <xf numFmtId="165" fontId="68" fillId="0" borderId="0" xfId="29" applyNumberFormat="1" applyFont="1" applyAlignment="1"/>
    <xf numFmtId="49" fontId="68" fillId="0" borderId="0" xfId="28" applyNumberFormat="1" applyFont="1"/>
    <xf numFmtId="165" fontId="68" fillId="0" borderId="0" xfId="29" applyNumberFormat="1" applyFont="1" applyFill="1"/>
    <xf numFmtId="49" fontId="69" fillId="0" borderId="0" xfId="28" applyNumberFormat="1" applyFont="1" applyAlignment="1">
      <alignment horizontal="center"/>
    </xf>
    <xf numFmtId="165" fontId="69" fillId="0" borderId="0" xfId="29" applyNumberFormat="1" applyFont="1" applyAlignment="1">
      <alignment horizontal="center"/>
    </xf>
    <xf numFmtId="10" fontId="69" fillId="0" borderId="0" xfId="30" applyNumberFormat="1" applyFont="1" applyAlignment="1">
      <alignment horizontal="center"/>
    </xf>
    <xf numFmtId="49" fontId="69" fillId="0" borderId="0" xfId="28" applyNumberFormat="1" applyFont="1" applyAlignment="1">
      <alignment horizontal="center" wrapText="1"/>
    </xf>
    <xf numFmtId="49" fontId="69" fillId="0" borderId="0" xfId="29" applyNumberFormat="1" applyFont="1" applyBorder="1" applyAlignment="1">
      <alignment horizontal="center" wrapText="1"/>
    </xf>
    <xf numFmtId="49" fontId="69" fillId="2" borderId="0" xfId="28" applyNumberFormat="1" applyFont="1" applyFill="1" applyAlignment="1">
      <alignment horizontal="center" wrapText="1"/>
    </xf>
    <xf numFmtId="0" fontId="69" fillId="2" borderId="0" xfId="29" applyNumberFormat="1" applyFont="1" applyFill="1" applyBorder="1" applyAlignment="1">
      <alignment horizontal="center" wrapText="1"/>
    </xf>
    <xf numFmtId="0" fontId="68" fillId="2" borderId="0" xfId="28" applyFont="1" applyFill="1"/>
    <xf numFmtId="49" fontId="68" fillId="2" borderId="52" xfId="29" applyNumberFormat="1" applyFont="1" applyFill="1" applyBorder="1" applyAlignment="1">
      <alignment horizontal="left"/>
    </xf>
    <xf numFmtId="165" fontId="68" fillId="2" borderId="52" xfId="29" applyNumberFormat="1" applyFont="1" applyFill="1" applyBorder="1"/>
    <xf numFmtId="165" fontId="68" fillId="0" borderId="53" xfId="29" applyNumberFormat="1" applyFont="1" applyBorder="1"/>
    <xf numFmtId="165" fontId="68" fillId="0" borderId="52" xfId="29" applyNumberFormat="1" applyFont="1" applyBorder="1"/>
    <xf numFmtId="10" fontId="68" fillId="2" borderId="52" xfId="30" applyNumberFormat="1" applyFont="1" applyFill="1" applyBorder="1"/>
    <xf numFmtId="0" fontId="68" fillId="0" borderId="52" xfId="28" applyFont="1" applyBorder="1"/>
    <xf numFmtId="49" fontId="68" fillId="2" borderId="53" xfId="29" applyNumberFormat="1" applyFont="1" applyFill="1" applyBorder="1"/>
    <xf numFmtId="165" fontId="68" fillId="2" borderId="53" xfId="29" applyNumberFormat="1" applyFont="1" applyFill="1" applyBorder="1"/>
    <xf numFmtId="43" fontId="68" fillId="2" borderId="53" xfId="1" applyFont="1" applyFill="1" applyBorder="1"/>
    <xf numFmtId="10" fontId="68" fillId="2" borderId="53" xfId="30" applyNumberFormat="1" applyFont="1" applyFill="1" applyBorder="1"/>
    <xf numFmtId="165" fontId="68" fillId="0" borderId="0" xfId="29" applyNumberFormat="1" applyFont="1" applyBorder="1" applyAlignment="1"/>
    <xf numFmtId="170" fontId="68" fillId="0" borderId="54" xfId="31" applyNumberFormat="1" applyFont="1" applyBorder="1" applyAlignment="1"/>
    <xf numFmtId="165" fontId="68" fillId="0" borderId="54" xfId="29" applyNumberFormat="1" applyFont="1" applyBorder="1" applyAlignment="1"/>
    <xf numFmtId="170" fontId="69" fillId="0" borderId="56" xfId="31" applyNumberFormat="1" applyFont="1" applyBorder="1" applyAlignment="1"/>
    <xf numFmtId="49" fontId="68" fillId="0" borderId="0" xfId="28" applyNumberFormat="1" applyFont="1" applyAlignment="1">
      <alignment horizontal="right"/>
    </xf>
    <xf numFmtId="49" fontId="68" fillId="0" borderId="0" xfId="29" applyNumberFormat="1" applyFont="1" applyAlignment="1">
      <alignment horizontal="right"/>
    </xf>
    <xf numFmtId="49" fontId="68" fillId="0" borderId="0" xfId="29" applyNumberFormat="1" applyFont="1" applyAlignment="1">
      <alignment vertical="top"/>
    </xf>
    <xf numFmtId="49" fontId="68" fillId="0" borderId="0" xfId="29" applyNumberFormat="1" applyFont="1" applyAlignment="1">
      <alignment vertical="top" wrapText="1"/>
    </xf>
    <xf numFmtId="49" fontId="68" fillId="0" borderId="0" xfId="29" applyNumberFormat="1" applyFont="1" applyAlignment="1">
      <alignment horizontal="left" vertical="top" wrapText="1"/>
    </xf>
    <xf numFmtId="49" fontId="68" fillId="0" borderId="0" xfId="28" applyNumberFormat="1" applyFont="1" applyAlignment="1">
      <alignment vertical="top" wrapText="1"/>
    </xf>
    <xf numFmtId="165" fontId="10" fillId="0" borderId="0" xfId="1" applyNumberFormat="1" applyFont="1"/>
    <xf numFmtId="165" fontId="10" fillId="0" borderId="0" xfId="1" applyNumberFormat="1" applyFont="1" applyFill="1"/>
    <xf numFmtId="43" fontId="10" fillId="0" borderId="0" xfId="29" applyFont="1"/>
    <xf numFmtId="49" fontId="70" fillId="0" borderId="0" xfId="28" applyNumberFormat="1" applyFont="1" applyAlignment="1">
      <alignment horizontal="center" wrapText="1"/>
    </xf>
    <xf numFmtId="0" fontId="10" fillId="0" borderId="0" xfId="28" applyFont="1" applyAlignment="1">
      <alignment horizontal="center" wrapText="1"/>
    </xf>
    <xf numFmtId="0" fontId="10" fillId="0" borderId="52" xfId="28" applyFont="1" applyBorder="1"/>
    <xf numFmtId="0" fontId="10" fillId="7" borderId="52" xfId="28" applyFont="1" applyFill="1" applyBorder="1"/>
    <xf numFmtId="14" fontId="10" fillId="2" borderId="52" xfId="28" applyNumberFormat="1" applyFont="1" applyFill="1" applyBorder="1"/>
    <xf numFmtId="14" fontId="10" fillId="2" borderId="52" xfId="1" applyNumberFormat="1" applyFont="1" applyFill="1" applyBorder="1"/>
    <xf numFmtId="43" fontId="10" fillId="2" borderId="52" xfId="1" applyFont="1" applyFill="1" applyBorder="1"/>
    <xf numFmtId="165" fontId="10" fillId="2" borderId="52" xfId="1" applyNumberFormat="1" applyFont="1" applyFill="1" applyBorder="1"/>
    <xf numFmtId="165" fontId="10" fillId="0" borderId="52" xfId="29" applyNumberFormat="1" applyFont="1" applyBorder="1" applyAlignment="1"/>
    <xf numFmtId="9" fontId="10" fillId="7" borderId="52" xfId="4" applyFont="1" applyFill="1" applyBorder="1"/>
    <xf numFmtId="165" fontId="10" fillId="0" borderId="52" xfId="28" applyNumberFormat="1" applyFont="1" applyBorder="1"/>
    <xf numFmtId="0" fontId="10" fillId="7" borderId="53" xfId="28" applyFont="1" applyFill="1" applyBorder="1"/>
    <xf numFmtId="0" fontId="10" fillId="2" borderId="55" xfId="28" applyFont="1" applyFill="1" applyBorder="1"/>
    <xf numFmtId="43" fontId="10" fillId="2" borderId="55" xfId="1" applyFont="1" applyFill="1" applyBorder="1"/>
    <xf numFmtId="9" fontId="10" fillId="7" borderId="53" xfId="4" applyFont="1" applyFill="1" applyBorder="1"/>
    <xf numFmtId="165" fontId="10" fillId="0" borderId="53" xfId="28" applyNumberFormat="1" applyFont="1" applyBorder="1"/>
    <xf numFmtId="165" fontId="10" fillId="2" borderId="53" xfId="29" applyNumberFormat="1" applyFont="1" applyFill="1" applyBorder="1" applyAlignment="1"/>
    <xf numFmtId="165" fontId="10" fillId="2" borderId="53" xfId="29" applyNumberFormat="1" applyFont="1" applyFill="1" applyBorder="1" applyAlignment="1">
      <alignment horizontal="center"/>
    </xf>
    <xf numFmtId="165" fontId="10" fillId="7" borderId="53" xfId="1" applyNumberFormat="1" applyFont="1" applyFill="1" applyBorder="1"/>
    <xf numFmtId="165" fontId="10" fillId="0" borderId="56" xfId="28" applyNumberFormat="1" applyFont="1" applyBorder="1"/>
    <xf numFmtId="43" fontId="10" fillId="0" borderId="0" xfId="29" applyFont="1" applyBorder="1" applyAlignment="1"/>
    <xf numFmtId="170" fontId="10" fillId="0" borderId="0" xfId="31" applyNumberFormat="1" applyFont="1" applyBorder="1" applyAlignment="1"/>
    <xf numFmtId="165" fontId="10" fillId="0" borderId="0" xfId="30" applyNumberFormat="1" applyFont="1"/>
    <xf numFmtId="170" fontId="10" fillId="0" borderId="0" xfId="28" applyNumberFormat="1" applyFont="1"/>
    <xf numFmtId="165" fontId="5" fillId="0" borderId="0" xfId="15" applyNumberFormat="1" applyFont="1" applyFill="1" applyBorder="1" applyAlignment="1"/>
    <xf numFmtId="0" fontId="74" fillId="0" borderId="0" xfId="14" applyFont="1"/>
    <xf numFmtId="164" fontId="74" fillId="0" borderId="0" xfId="0" applyFont="1"/>
    <xf numFmtId="0" fontId="75" fillId="0" borderId="0" xfId="14" applyFont="1"/>
    <xf numFmtId="164" fontId="75" fillId="0" borderId="0" xfId="0" applyFont="1"/>
    <xf numFmtId="0" fontId="74" fillId="0" borderId="0" xfId="0" applyNumberFormat="1" applyFont="1" applyAlignment="1">
      <alignment horizontal="right"/>
    </xf>
    <xf numFmtId="164" fontId="74" fillId="0" borderId="0" xfId="0" applyFont="1" applyAlignment="1">
      <alignment horizontal="center"/>
    </xf>
    <xf numFmtId="164" fontId="76" fillId="0" borderId="0" xfId="0" applyFont="1" applyAlignment="1">
      <alignment horizontal="left" vertical="center"/>
    </xf>
    <xf numFmtId="1" fontId="74" fillId="6" borderId="0" xfId="0" applyNumberFormat="1" applyFont="1" applyFill="1" applyAlignment="1">
      <alignment horizontal="center" vertical="center"/>
    </xf>
    <xf numFmtId="1" fontId="74" fillId="0" borderId="0" xfId="0" applyNumberFormat="1" applyFont="1" applyAlignment="1">
      <alignment horizontal="center" vertical="center"/>
    </xf>
    <xf numFmtId="164" fontId="74" fillId="0" borderId="0" xfId="0" applyFont="1" applyAlignment="1">
      <alignment horizontal="center" wrapText="1"/>
    </xf>
    <xf numFmtId="0" fontId="74" fillId="0" borderId="0" xfId="0" applyNumberFormat="1" applyFont="1" applyAlignment="1">
      <alignment horizontal="center" vertical="center"/>
    </xf>
    <xf numFmtId="164" fontId="74" fillId="0" borderId="0" xfId="0" applyFont="1" applyAlignment="1">
      <alignment horizontal="center" vertical="center"/>
    </xf>
    <xf numFmtId="165" fontId="74" fillId="0" borderId="0" xfId="1" applyNumberFormat="1" applyFont="1" applyFill="1" applyAlignment="1">
      <alignment horizontal="center" vertical="center"/>
    </xf>
    <xf numFmtId="165" fontId="74" fillId="0" borderId="0" xfId="1" applyNumberFormat="1" applyFont="1" applyFill="1" applyAlignment="1">
      <alignment horizontal="left" vertical="center"/>
    </xf>
    <xf numFmtId="165" fontId="74" fillId="0" borderId="0" xfId="1" applyNumberFormat="1" applyFont="1" applyAlignment="1"/>
    <xf numFmtId="10" fontId="74" fillId="0" borderId="0" xfId="4" applyNumberFormat="1" applyFont="1" applyAlignment="1">
      <alignment horizontal="center"/>
    </xf>
    <xf numFmtId="165" fontId="74" fillId="6" borderId="0" xfId="1" applyNumberFormat="1" applyFont="1" applyFill="1" applyAlignment="1"/>
    <xf numFmtId="164" fontId="56" fillId="0" borderId="0" xfId="0" applyFont="1"/>
    <xf numFmtId="0" fontId="56" fillId="0" borderId="0" xfId="0" quotePrefix="1" applyNumberFormat="1" applyFont="1" applyAlignment="1">
      <alignment horizontal="center" vertical="top"/>
    </xf>
    <xf numFmtId="164" fontId="4" fillId="0" borderId="0" xfId="32" applyFont="1" applyAlignment="1">
      <alignment horizontal="center"/>
    </xf>
    <xf numFmtId="164" fontId="4" fillId="0" borderId="0" xfId="32" applyFont="1"/>
    <xf numFmtId="164" fontId="0" fillId="0" borderId="0" xfId="32" applyFont="1"/>
    <xf numFmtId="0" fontId="5" fillId="0" borderId="0" xfId="33"/>
    <xf numFmtId="0" fontId="4" fillId="0" borderId="0" xfId="33" applyFont="1" applyAlignment="1">
      <alignment horizontal="center"/>
    </xf>
    <xf numFmtId="0" fontId="4" fillId="0" borderId="0" xfId="33" applyFont="1"/>
    <xf numFmtId="164" fontId="3" fillId="0" borderId="0" xfId="32" applyFont="1" applyAlignment="1">
      <alignment horizontal="left"/>
    </xf>
    <xf numFmtId="164" fontId="77" fillId="0" borderId="0" xfId="32" applyFont="1" applyAlignment="1">
      <alignment horizontal="left"/>
    </xf>
    <xf numFmtId="164" fontId="4" fillId="0" borderId="3" xfId="32" applyFont="1" applyBorder="1" applyAlignment="1">
      <alignment wrapText="1"/>
    </xf>
    <xf numFmtId="164" fontId="4" fillId="0" borderId="3" xfId="32" applyFont="1" applyBorder="1" applyAlignment="1">
      <alignment horizontal="center" wrapText="1"/>
    </xf>
    <xf numFmtId="0" fontId="4" fillId="0" borderId="3" xfId="33" applyFont="1" applyBorder="1" applyAlignment="1">
      <alignment horizontal="center" wrapText="1"/>
    </xf>
    <xf numFmtId="1" fontId="4" fillId="0" borderId="0" xfId="32" applyNumberFormat="1" applyFont="1" applyAlignment="1">
      <alignment horizontal="center"/>
    </xf>
    <xf numFmtId="164" fontId="4" fillId="2" borderId="0" xfId="32" applyFont="1" applyFill="1"/>
    <xf numFmtId="180" fontId="79" fillId="2" borderId="0" xfId="1" applyNumberFormat="1" applyFont="1" applyFill="1"/>
    <xf numFmtId="165" fontId="10" fillId="2" borderId="0" xfId="1" applyNumberFormat="1" applyFont="1" applyFill="1" applyAlignment="1">
      <alignment vertical="center"/>
    </xf>
    <xf numFmtId="165" fontId="4" fillId="0" borderId="0" xfId="33" applyNumberFormat="1" applyFont="1"/>
    <xf numFmtId="165" fontId="4" fillId="0" borderId="57" xfId="1" applyNumberFormat="1" applyFont="1" applyBorder="1"/>
    <xf numFmtId="164" fontId="4" fillId="0" borderId="0" xfId="32" applyFont="1" applyAlignment="1">
      <alignment horizontal="left"/>
    </xf>
    <xf numFmtId="180" fontId="4" fillId="0" borderId="0" xfId="1" applyNumberFormat="1" applyFont="1"/>
    <xf numFmtId="43" fontId="5" fillId="0" borderId="0" xfId="1" applyFont="1"/>
    <xf numFmtId="170" fontId="4" fillId="0" borderId="57" xfId="33" applyNumberFormat="1" applyFont="1" applyBorder="1"/>
    <xf numFmtId="164" fontId="3" fillId="0" borderId="0" xfId="32" applyFont="1"/>
    <xf numFmtId="164" fontId="4" fillId="0" borderId="0" xfId="32" applyFont="1" applyAlignment="1">
      <alignment horizontal="center" wrapText="1"/>
    </xf>
    <xf numFmtId="183" fontId="4" fillId="0" borderId="0" xfId="1" applyNumberFormat="1" applyFont="1" applyAlignment="1">
      <alignment horizontal="center"/>
    </xf>
    <xf numFmtId="165" fontId="10" fillId="0" borderId="0" xfId="1" applyNumberFormat="1" applyFont="1" applyFill="1" applyAlignment="1">
      <alignment vertical="center"/>
    </xf>
    <xf numFmtId="0" fontId="44" fillId="0" borderId="0" xfId="33" applyFont="1"/>
    <xf numFmtId="0" fontId="74" fillId="0" borderId="0" xfId="33" applyFont="1"/>
    <xf numFmtId="0" fontId="56" fillId="0" borderId="0" xfId="33" applyFont="1"/>
    <xf numFmtId="164" fontId="74" fillId="0" borderId="0" xfId="32" applyFont="1" applyAlignment="1">
      <alignment horizontal="center" wrapText="1"/>
    </xf>
    <xf numFmtId="164" fontId="4" fillId="2" borderId="3" xfId="32" applyFont="1" applyFill="1" applyBorder="1"/>
    <xf numFmtId="164" fontId="4" fillId="0" borderId="3" xfId="32" applyFont="1" applyBorder="1"/>
    <xf numFmtId="43" fontId="74" fillId="0" borderId="0" xfId="1" applyFont="1" applyAlignment="1">
      <alignment wrapText="1"/>
    </xf>
    <xf numFmtId="165" fontId="6" fillId="2" borderId="0" xfId="1" applyNumberFormat="1" applyFont="1" applyFill="1" applyAlignment="1">
      <alignment horizontal="center" wrapText="1"/>
    </xf>
    <xf numFmtId="165" fontId="4" fillId="2" borderId="0" xfId="1" applyNumberFormat="1" applyFont="1" applyFill="1" applyAlignment="1">
      <alignment horizontal="center" wrapText="1"/>
    </xf>
    <xf numFmtId="165" fontId="74" fillId="0" borderId="0" xfId="1" applyNumberFormat="1" applyFont="1" applyAlignment="1">
      <alignment wrapText="1"/>
    </xf>
    <xf numFmtId="165" fontId="6" fillId="2" borderId="0" xfId="1" applyNumberFormat="1" applyFont="1" applyFill="1" applyAlignment="1">
      <alignment wrapText="1"/>
    </xf>
    <xf numFmtId="165" fontId="4" fillId="2" borderId="0" xfId="1" applyNumberFormat="1" applyFont="1" applyFill="1" applyAlignment="1">
      <alignment wrapText="1"/>
    </xf>
    <xf numFmtId="164" fontId="4" fillId="0" borderId="0" xfId="32" applyFont="1" applyAlignment="1">
      <alignment wrapText="1"/>
    </xf>
    <xf numFmtId="165" fontId="6" fillId="0" borderId="0" xfId="1" applyNumberFormat="1" applyFont="1" applyFill="1" applyAlignment="1">
      <alignment wrapText="1"/>
    </xf>
    <xf numFmtId="43" fontId="6" fillId="0" borderId="0" xfId="1" applyFont="1" applyFill="1" applyAlignment="1">
      <alignment wrapText="1"/>
    </xf>
    <xf numFmtId="165" fontId="4" fillId="0" borderId="0" xfId="1" applyNumberFormat="1" applyFont="1" applyAlignment="1">
      <alignment wrapText="1"/>
    </xf>
    <xf numFmtId="0" fontId="74" fillId="0" borderId="0" xfId="1" applyNumberFormat="1" applyFont="1" applyAlignment="1">
      <alignment horizontal="center"/>
    </xf>
    <xf numFmtId="0" fontId="3" fillId="0" borderId="0" xfId="33" applyFont="1" applyAlignment="1">
      <alignment horizontal="left"/>
    </xf>
    <xf numFmtId="164" fontId="4" fillId="2" borderId="0" xfId="32" applyFont="1" applyFill="1" applyAlignment="1">
      <alignment horizontal="center" wrapText="1"/>
    </xf>
    <xf numFmtId="164" fontId="77" fillId="0" borderId="0" xfId="32" applyFont="1"/>
    <xf numFmtId="0" fontId="4" fillId="0" borderId="0" xfId="33" applyFont="1" applyAlignment="1">
      <alignment horizontal="left"/>
    </xf>
    <xf numFmtId="41" fontId="4" fillId="2" borderId="0" xfId="32" applyNumberFormat="1" applyFont="1" applyFill="1"/>
    <xf numFmtId="42" fontId="4" fillId="2" borderId="0" xfId="32" applyNumberFormat="1" applyFont="1" applyFill="1"/>
    <xf numFmtId="41" fontId="4" fillId="0" borderId="0" xfId="32" applyNumberFormat="1" applyFont="1"/>
    <xf numFmtId="42" fontId="4" fillId="0" borderId="0" xfId="32" applyNumberFormat="1" applyFont="1"/>
    <xf numFmtId="0" fontId="4" fillId="0" borderId="0" xfId="14" applyFont="1" applyAlignment="1">
      <alignment horizontal="center"/>
    </xf>
    <xf numFmtId="0" fontId="3" fillId="0" borderId="0" xfId="14" applyFont="1" applyAlignment="1">
      <alignment horizontal="center"/>
    </xf>
    <xf numFmtId="0" fontId="22" fillId="4" borderId="5" xfId="14" applyFont="1" applyFill="1" applyBorder="1" applyAlignment="1">
      <alignment horizontal="center"/>
    </xf>
    <xf numFmtId="0" fontId="22" fillId="4" borderId="6" xfId="14" applyFont="1" applyFill="1" applyBorder="1" applyAlignment="1">
      <alignment horizontal="center"/>
    </xf>
    <xf numFmtId="0" fontId="22" fillId="4" borderId="7" xfId="14" applyFont="1" applyFill="1" applyBorder="1" applyAlignment="1">
      <alignment horizontal="center"/>
    </xf>
    <xf numFmtId="0" fontId="34" fillId="0" borderId="0" xfId="14" applyFont="1" applyAlignment="1">
      <alignment horizontal="center" wrapText="1"/>
    </xf>
    <xf numFmtId="164" fontId="3" fillId="0" borderId="0" xfId="0" applyFont="1" applyAlignment="1">
      <alignment horizontal="center"/>
    </xf>
    <xf numFmtId="0" fontId="4" fillId="0" borderId="0" xfId="5" applyFont="1" applyAlignment="1" applyProtection="1">
      <alignment horizontal="left" vertical="top" wrapText="1"/>
      <protection locked="0"/>
    </xf>
    <xf numFmtId="3" fontId="4" fillId="0" borderId="0" xfId="5" applyNumberFormat="1" applyFont="1" applyAlignment="1">
      <alignment horizontal="left" wrapText="1"/>
    </xf>
    <xf numFmtId="49" fontId="4" fillId="0" borderId="0" xfId="0" applyNumberFormat="1" applyFont="1" applyAlignment="1">
      <alignment horizontal="left" vertical="top" wrapText="1"/>
    </xf>
    <xf numFmtId="164" fontId="4" fillId="0" borderId="0" xfId="0" applyFont="1" applyAlignment="1">
      <alignment horizontal="left" vertical="top" wrapText="1"/>
    </xf>
    <xf numFmtId="164" fontId="4" fillId="0" borderId="0" xfId="0" applyFont="1" applyAlignment="1">
      <alignment vertical="top" wrapText="1"/>
    </xf>
    <xf numFmtId="0" fontId="4" fillId="0" borderId="0" xfId="14" applyFont="1" applyAlignment="1">
      <alignment horizontal="left" wrapText="1"/>
    </xf>
    <xf numFmtId="0" fontId="4" fillId="0" borderId="0" xfId="14" applyFont="1" applyAlignment="1">
      <alignment horizontal="left" vertical="top" wrapText="1"/>
    </xf>
    <xf numFmtId="164" fontId="4" fillId="0" borderId="0" xfId="0" applyFont="1" applyAlignment="1">
      <alignment horizontal="left" wrapText="1"/>
    </xf>
    <xf numFmtId="3" fontId="4" fillId="0" borderId="9" xfId="5" applyNumberFormat="1" applyFont="1" applyBorder="1" applyAlignment="1">
      <alignment horizontal="left" wrapText="1"/>
    </xf>
    <xf numFmtId="0" fontId="35" fillId="4" borderId="13" xfId="14" applyFont="1" applyFill="1" applyBorder="1" applyAlignment="1">
      <alignment horizontal="center"/>
    </xf>
    <xf numFmtId="0" fontId="35" fillId="4" borderId="14" xfId="14" applyFont="1" applyFill="1" applyBorder="1" applyAlignment="1">
      <alignment horizontal="center"/>
    </xf>
    <xf numFmtId="0" fontId="35" fillId="4" borderId="15" xfId="14" applyFont="1" applyFill="1" applyBorder="1" applyAlignment="1">
      <alignment horizontal="center"/>
    </xf>
    <xf numFmtId="0" fontId="35" fillId="4" borderId="14" xfId="14" applyFont="1" applyFill="1" applyBorder="1" applyAlignment="1">
      <alignment horizontal="center" wrapText="1"/>
    </xf>
    <xf numFmtId="0" fontId="4" fillId="0" borderId="14" xfId="14" applyFont="1" applyBorder="1" applyAlignment="1">
      <alignment horizontal="center" wrapText="1"/>
    </xf>
    <xf numFmtId="0" fontId="4" fillId="0" borderId="15" xfId="14" applyFont="1" applyBorder="1" applyAlignment="1">
      <alignment horizontal="center" wrapText="1"/>
    </xf>
    <xf numFmtId="0" fontId="22" fillId="4" borderId="6" xfId="14" applyFont="1" applyFill="1" applyBorder="1" applyAlignment="1">
      <alignment horizontal="center" wrapText="1"/>
    </xf>
    <xf numFmtId="0" fontId="4" fillId="0" borderId="6" xfId="14" applyFont="1" applyBorder="1" applyAlignment="1">
      <alignment horizontal="center" wrapText="1"/>
    </xf>
    <xf numFmtId="0" fontId="4" fillId="0" borderId="7" xfId="14" applyFont="1" applyBorder="1" applyAlignment="1">
      <alignment horizontal="center" wrapText="1"/>
    </xf>
    <xf numFmtId="0" fontId="35" fillId="4" borderId="8" xfId="14" applyFont="1" applyFill="1" applyBorder="1" applyAlignment="1">
      <alignment horizontal="center"/>
    </xf>
    <xf numFmtId="0" fontId="35" fillId="4" borderId="0" xfId="14" applyFont="1" applyFill="1" applyAlignment="1">
      <alignment horizontal="center"/>
    </xf>
    <xf numFmtId="0" fontId="35" fillId="4" borderId="0" xfId="14" applyFont="1" applyFill="1" applyAlignment="1">
      <alignment horizontal="center" wrapText="1"/>
    </xf>
    <xf numFmtId="0" fontId="4" fillId="0" borderId="0" xfId="14" applyFont="1" applyAlignment="1">
      <alignment horizontal="center" wrapText="1"/>
    </xf>
    <xf numFmtId="0" fontId="4" fillId="0" borderId="9" xfId="14" applyFont="1" applyBorder="1" applyAlignment="1">
      <alignment horizontal="center" wrapText="1"/>
    </xf>
    <xf numFmtId="0" fontId="3" fillId="0" borderId="0" xfId="14" applyFont="1" applyAlignment="1">
      <alignment horizontal="center" wrapText="1"/>
    </xf>
    <xf numFmtId="0" fontId="35" fillId="0" borderId="5" xfId="14" applyFont="1" applyBorder="1" applyAlignment="1">
      <alignment horizontal="center"/>
    </xf>
    <xf numFmtId="0" fontId="35" fillId="0" borderId="6" xfId="14" applyFont="1" applyBorder="1" applyAlignment="1">
      <alignment horizontal="center"/>
    </xf>
    <xf numFmtId="0" fontId="35" fillId="0" borderId="7" xfId="14" applyFont="1" applyBorder="1" applyAlignment="1">
      <alignment horizontal="center"/>
    </xf>
    <xf numFmtId="0" fontId="35" fillId="0" borderId="6" xfId="14" applyFont="1" applyBorder="1" applyAlignment="1">
      <alignment horizontal="center" wrapText="1"/>
    </xf>
    <xf numFmtId="0" fontId="3" fillId="0" borderId="5" xfId="14" applyFont="1" applyBorder="1" applyAlignment="1">
      <alignment horizontal="center"/>
    </xf>
    <xf numFmtId="0" fontId="3" fillId="0" borderId="6" xfId="14" applyFont="1" applyBorder="1" applyAlignment="1">
      <alignment horizontal="center"/>
    </xf>
    <xf numFmtId="0" fontId="3" fillId="0" borderId="7" xfId="14" applyFont="1" applyBorder="1" applyAlignment="1">
      <alignment horizontal="center"/>
    </xf>
    <xf numFmtId="0" fontId="3" fillId="0" borderId="6" xfId="14" applyFont="1" applyBorder="1" applyAlignment="1">
      <alignment horizontal="center" wrapText="1"/>
    </xf>
    <xf numFmtId="0" fontId="3" fillId="0" borderId="7" xfId="14" applyFont="1" applyBorder="1" applyAlignment="1">
      <alignment horizontal="center" wrapText="1"/>
    </xf>
    <xf numFmtId="165" fontId="4" fillId="0" borderId="0" xfId="14" applyNumberFormat="1" applyFont="1" applyAlignment="1">
      <alignment horizontal="center" wrapText="1"/>
    </xf>
    <xf numFmtId="165" fontId="4" fillId="0" borderId="9" xfId="14" applyNumberFormat="1" applyFont="1" applyBorder="1" applyAlignment="1">
      <alignment horizontal="center" wrapText="1"/>
    </xf>
    <xf numFmtId="0" fontId="35" fillId="4" borderId="5" xfId="14" applyFont="1" applyFill="1" applyBorder="1" applyAlignment="1">
      <alignment horizontal="center"/>
    </xf>
    <xf numFmtId="0" fontId="35" fillId="4" borderId="6" xfId="14" applyFont="1" applyFill="1" applyBorder="1" applyAlignment="1">
      <alignment horizontal="center"/>
    </xf>
    <xf numFmtId="0" fontId="35" fillId="4" borderId="6" xfId="14" applyFont="1" applyFill="1" applyBorder="1" applyAlignment="1">
      <alignment horizontal="center" wrapText="1"/>
    </xf>
    <xf numFmtId="0" fontId="22" fillId="4" borderId="7" xfId="14" applyFont="1" applyFill="1" applyBorder="1" applyAlignment="1">
      <alignment horizontal="center" wrapText="1"/>
    </xf>
    <xf numFmtId="0" fontId="4" fillId="0" borderId="0" xfId="1" applyNumberFormat="1" applyFont="1" applyAlignment="1">
      <alignment horizontal="center"/>
    </xf>
    <xf numFmtId="0" fontId="3" fillId="0" borderId="0" xfId="1" applyNumberFormat="1" applyFont="1" applyAlignment="1">
      <alignment horizontal="center"/>
    </xf>
    <xf numFmtId="0" fontId="35" fillId="4" borderId="1" xfId="14" applyFont="1" applyFill="1" applyBorder="1" applyAlignment="1">
      <alignment horizontal="center"/>
    </xf>
    <xf numFmtId="165" fontId="35" fillId="4" borderId="1" xfId="1" applyNumberFormat="1" applyFont="1" applyFill="1" applyBorder="1" applyAlignment="1">
      <alignment horizontal="center" wrapText="1"/>
    </xf>
    <xf numFmtId="165" fontId="22" fillId="4" borderId="1" xfId="1" applyNumberFormat="1" applyFont="1" applyFill="1" applyBorder="1" applyAlignment="1">
      <alignment horizontal="center" wrapText="1"/>
    </xf>
    <xf numFmtId="165" fontId="4" fillId="0" borderId="0" xfId="1" applyNumberFormat="1" applyFont="1" applyAlignment="1">
      <alignment horizontal="center"/>
    </xf>
    <xf numFmtId="3" fontId="3" fillId="0" borderId="0" xfId="18" applyNumberFormat="1" applyFont="1" applyAlignment="1">
      <alignment horizontal="center"/>
    </xf>
    <xf numFmtId="165" fontId="4" fillId="0" borderId="0" xfId="0" applyNumberFormat="1" applyFont="1" applyAlignment="1">
      <alignment horizontal="center"/>
    </xf>
    <xf numFmtId="165" fontId="3" fillId="0" borderId="0" xfId="0" applyNumberFormat="1" applyFont="1" applyAlignment="1">
      <alignment horizontal="center"/>
    </xf>
    <xf numFmtId="165" fontId="4" fillId="6" borderId="24" xfId="1" applyNumberFormat="1" applyFont="1" applyFill="1" applyBorder="1" applyAlignment="1">
      <alignment horizontal="center"/>
    </xf>
    <xf numFmtId="0" fontId="4" fillId="0" borderId="0" xfId="22" applyFont="1" applyAlignment="1">
      <alignment horizontal="center"/>
    </xf>
    <xf numFmtId="0" fontId="3" fillId="0" borderId="0" xfId="22" applyFont="1" applyAlignment="1">
      <alignment horizontal="center"/>
    </xf>
    <xf numFmtId="0" fontId="4" fillId="0" borderId="27" xfId="0" applyNumberFormat="1" applyFont="1" applyBorder="1" applyAlignment="1">
      <alignment horizontal="center" wrapText="1"/>
    </xf>
    <xf numFmtId="0" fontId="4" fillId="0" borderId="3" xfId="0" applyNumberFormat="1" applyFont="1" applyBorder="1" applyAlignment="1">
      <alignment horizontal="center" wrapText="1"/>
    </xf>
    <xf numFmtId="0" fontId="4" fillId="0" borderId="28" xfId="0" applyNumberFormat="1" applyFont="1" applyBorder="1" applyAlignment="1">
      <alignment horizontal="center" wrapText="1"/>
    </xf>
    <xf numFmtId="164" fontId="4" fillId="0" borderId="24" xfId="0" applyFont="1" applyBorder="1" applyAlignment="1">
      <alignment horizontal="center"/>
    </xf>
    <xf numFmtId="164" fontId="4" fillId="6" borderId="24" xfId="0" applyFont="1" applyFill="1" applyBorder="1" applyAlignment="1">
      <alignment horizontal="center"/>
    </xf>
    <xf numFmtId="0" fontId="4" fillId="0" borderId="25" xfId="22" applyFont="1" applyBorder="1" applyAlignment="1">
      <alignment horizontal="center"/>
    </xf>
    <xf numFmtId="0" fontId="4" fillId="0" borderId="26" xfId="22" applyFont="1" applyBorder="1" applyAlignment="1">
      <alignment horizontal="center"/>
    </xf>
    <xf numFmtId="164" fontId="4" fillId="0" borderId="24" xfId="0" applyFont="1" applyBorder="1" applyAlignment="1">
      <alignment horizontal="center" wrapText="1"/>
    </xf>
    <xf numFmtId="0" fontId="4" fillId="0" borderId="0" xfId="22" applyFont="1" applyAlignment="1">
      <alignment horizontal="left"/>
    </xf>
    <xf numFmtId="165" fontId="4" fillId="0" borderId="31" xfId="1" applyNumberFormat="1" applyFont="1" applyBorder="1" applyAlignment="1">
      <alignment horizontal="center"/>
    </xf>
    <xf numFmtId="164" fontId="26" fillId="7" borderId="0" xfId="24" applyFont="1" applyFill="1" applyAlignment="1">
      <alignment horizontal="left" vertical="top" wrapText="1"/>
    </xf>
    <xf numFmtId="0" fontId="4" fillId="0" borderId="0" xfId="22" applyFont="1" applyAlignment="1">
      <alignment horizontal="left" wrapText="1"/>
    </xf>
    <xf numFmtId="164" fontId="4" fillId="0" borderId="0" xfId="0" applyFont="1" applyAlignment="1" applyProtection="1">
      <alignment horizontal="center"/>
      <protection locked="0"/>
    </xf>
    <xf numFmtId="164" fontId="3" fillId="0" borderId="0" xfId="0" applyFont="1" applyAlignment="1" applyProtection="1">
      <alignment horizontal="center"/>
      <protection locked="0"/>
    </xf>
    <xf numFmtId="164" fontId="3" fillId="8" borderId="0" xfId="0" applyFont="1" applyFill="1" applyAlignment="1" applyProtection="1">
      <alignment horizontal="center"/>
      <protection locked="0"/>
    </xf>
    <xf numFmtId="164" fontId="52" fillId="0" borderId="27" xfId="0" applyFont="1" applyBorder="1" applyAlignment="1">
      <alignment horizontal="center"/>
    </xf>
    <xf numFmtId="164" fontId="52" fillId="0" borderId="3" xfId="0" applyFont="1" applyBorder="1" applyAlignment="1">
      <alignment horizontal="center"/>
    </xf>
    <xf numFmtId="164" fontId="52" fillId="0" borderId="28" xfId="0" applyFont="1" applyBorder="1" applyAlignment="1">
      <alignment horizontal="center"/>
    </xf>
    <xf numFmtId="0" fontId="4" fillId="8" borderId="0" xfId="22" applyFont="1" applyFill="1" applyAlignment="1">
      <alignment horizontal="center"/>
    </xf>
    <xf numFmtId="0" fontId="4" fillId="0" borderId="0" xfId="22" applyFont="1" applyAlignment="1">
      <alignment wrapText="1"/>
    </xf>
    <xf numFmtId="0" fontId="4" fillId="0" borderId="0" xfId="22" applyFont="1"/>
    <xf numFmtId="0" fontId="56" fillId="0" borderId="5" xfId="22" applyFont="1" applyBorder="1" applyAlignment="1">
      <alignment horizontal="center"/>
    </xf>
    <xf numFmtId="0" fontId="56" fillId="0" borderId="6" xfId="22" applyFont="1" applyBorder="1" applyAlignment="1">
      <alignment horizontal="center"/>
    </xf>
    <xf numFmtId="0" fontId="56" fillId="0" borderId="7" xfId="22" applyFont="1" applyBorder="1" applyAlignment="1">
      <alignment horizontal="center"/>
    </xf>
    <xf numFmtId="0" fontId="56" fillId="0" borderId="0" xfId="22" applyFont="1" applyAlignment="1">
      <alignment horizontal="center"/>
    </xf>
    <xf numFmtId="164" fontId="4" fillId="0" borderId="0" xfId="0" applyFont="1" applyAlignment="1">
      <alignment horizontal="center"/>
    </xf>
    <xf numFmtId="164" fontId="63" fillId="0" borderId="0" xfId="0" applyFont="1" applyAlignment="1">
      <alignment horizontal="left" vertical="center" wrapText="1"/>
    </xf>
    <xf numFmtId="49" fontId="10" fillId="0" borderId="0" xfId="28" applyNumberFormat="1" applyFont="1" applyAlignment="1">
      <alignment horizontal="left" vertical="top" wrapText="1"/>
    </xf>
    <xf numFmtId="0" fontId="10" fillId="0" borderId="3" xfId="28" applyFont="1" applyBorder="1" applyAlignment="1">
      <alignment horizontal="center" wrapText="1"/>
    </xf>
    <xf numFmtId="0" fontId="10" fillId="0" borderId="0" xfId="28" applyFont="1" applyAlignment="1">
      <alignment horizontal="left" wrapText="1"/>
    </xf>
    <xf numFmtId="0" fontId="10" fillId="0" borderId="3" xfId="28" applyFont="1" applyBorder="1" applyAlignment="1">
      <alignment horizontal="left" wrapText="1"/>
    </xf>
    <xf numFmtId="0" fontId="70" fillId="0" borderId="3" xfId="28" applyFont="1" applyBorder="1" applyAlignment="1">
      <alignment horizontal="center" wrapText="1"/>
    </xf>
    <xf numFmtId="0" fontId="70" fillId="0" borderId="3" xfId="28" applyFont="1" applyBorder="1" applyAlignment="1">
      <alignment wrapText="1"/>
    </xf>
    <xf numFmtId="0" fontId="10" fillId="0" borderId="0" xfId="28" applyFont="1" applyAlignment="1">
      <alignment horizontal="left" vertical="top" wrapText="1"/>
    </xf>
    <xf numFmtId="0" fontId="70" fillId="0" borderId="0" xfId="28" applyFont="1" applyAlignment="1">
      <alignment horizontal="center" wrapText="1"/>
    </xf>
    <xf numFmtId="0" fontId="69" fillId="0" borderId="0" xfId="28" applyFont="1" applyAlignment="1">
      <alignment horizontal="center" wrapText="1"/>
    </xf>
    <xf numFmtId="164" fontId="0" fillId="0" borderId="0" xfId="0" applyAlignment="1">
      <alignment horizontal="center"/>
    </xf>
    <xf numFmtId="164" fontId="73" fillId="0" borderId="0" xfId="0" applyFont="1" applyAlignment="1">
      <alignment horizontal="center"/>
    </xf>
    <xf numFmtId="0" fontId="69" fillId="0" borderId="3" xfId="28" applyFont="1" applyBorder="1" applyAlignment="1">
      <alignment horizontal="center" wrapText="1"/>
    </xf>
    <xf numFmtId="0" fontId="69" fillId="0" borderId="0" xfId="28" applyFont="1" applyAlignment="1">
      <alignment horizontal="left" wrapText="1"/>
    </xf>
    <xf numFmtId="0" fontId="69" fillId="0" borderId="3" xfId="28" applyFont="1" applyBorder="1" applyAlignment="1">
      <alignment horizontal="left" wrapText="1"/>
    </xf>
    <xf numFmtId="49" fontId="68" fillId="0" borderId="0" xfId="28" applyNumberFormat="1" applyFont="1" applyAlignment="1">
      <alignment horizontal="left" vertical="top" wrapText="1"/>
    </xf>
    <xf numFmtId="165" fontId="68" fillId="0" borderId="54" xfId="29" applyNumberFormat="1" applyFont="1" applyBorder="1" applyAlignment="1">
      <alignment horizontal="right"/>
    </xf>
    <xf numFmtId="43" fontId="10" fillId="0" borderId="54" xfId="29" applyFont="1" applyBorder="1" applyAlignment="1">
      <alignment horizontal="right"/>
    </xf>
    <xf numFmtId="43" fontId="10" fillId="0" borderId="0" xfId="29" applyFont="1" applyAlignment="1">
      <alignment horizontal="right"/>
    </xf>
    <xf numFmtId="164" fontId="56" fillId="0" borderId="0" xfId="0" applyFont="1" applyAlignment="1">
      <alignment horizontal="left" vertical="top" wrapText="1"/>
    </xf>
    <xf numFmtId="164" fontId="4" fillId="0" borderId="0" xfId="32" applyFont="1" applyAlignment="1">
      <alignment horizontal="center"/>
    </xf>
    <xf numFmtId="164" fontId="3" fillId="0" borderId="0" xfId="32" applyFont="1" applyAlignment="1">
      <alignment horizontal="center"/>
    </xf>
    <xf numFmtId="164" fontId="4" fillId="0" borderId="0" xfId="32" applyFont="1" applyAlignment="1">
      <alignment horizontal="left"/>
    </xf>
    <xf numFmtId="164" fontId="3" fillId="0" borderId="0" xfId="32" applyFont="1" applyAlignment="1">
      <alignment wrapText="1"/>
    </xf>
    <xf numFmtId="164" fontId="4" fillId="0" borderId="1" xfId="32" applyFont="1" applyBorder="1" applyAlignment="1">
      <alignment horizontal="center"/>
    </xf>
    <xf numFmtId="165" fontId="52" fillId="0" borderId="36" xfId="1" applyNumberFormat="1" applyFont="1" applyFill="1" applyBorder="1"/>
  </cellXfs>
  <cellStyles count="34">
    <cellStyle name="Comma" xfId="1" builtinId="3"/>
    <cellStyle name="Comma [0]" xfId="2" builtinId="6"/>
    <cellStyle name="Comma 2 2" xfId="15" xr:uid="{927F086B-15E0-4343-BB4D-AE4AD1B331F6}"/>
    <cellStyle name="Comma 31 2 2" xfId="8" xr:uid="{56D51D6B-ECB5-415F-9603-ACEB3C20F475}"/>
    <cellStyle name="Comma 6" xfId="29" xr:uid="{19988AB1-194B-47D6-A914-725900C73B41}"/>
    <cellStyle name="Comma 8" xfId="21" xr:uid="{A6E4762C-C7DA-4AAE-B80D-E19E16266C9A}"/>
    <cellStyle name="Currency" xfId="3" builtinId="4"/>
    <cellStyle name="Currency 4" xfId="31" xr:uid="{69BB1777-4FF1-4C5A-AB1B-E03049F9D4FC}"/>
    <cellStyle name="Normal" xfId="0" builtinId="0"/>
    <cellStyle name="Normal 11" xfId="26" xr:uid="{E178421B-52D2-406C-802C-CDB9BDE25CDD}"/>
    <cellStyle name="Normal 12" xfId="13" xr:uid="{C9DAE839-5D4C-4242-BD6E-A0603C7962DE}"/>
    <cellStyle name="Normal 2" xfId="22" xr:uid="{EB44E706-003E-4B0E-83E6-D4552FF2BC29}"/>
    <cellStyle name="Normal 2 2" xfId="17" xr:uid="{B0147F54-1DFE-4C1F-86B8-CE7D9E178BC8}"/>
    <cellStyle name="Normal 3 2" xfId="14" xr:uid="{D2C6000C-45B9-4FD8-98C5-38777A166CD8}"/>
    <cellStyle name="Normal 3_Attach O, GG, Support -New Method 2-14-11" xfId="12" xr:uid="{718E1A82-9D3F-4170-B66F-514F3D45044F}"/>
    <cellStyle name="Normal 4 2" xfId="7" xr:uid="{12DB6E66-DCE3-4627-8C6E-EAECF4CC2832}"/>
    <cellStyle name="Normal 5" xfId="32" xr:uid="{7D628CFC-F33D-4126-9901-A23974262037}"/>
    <cellStyle name="Normal 6 2" xfId="33" xr:uid="{DDCAB01F-FD19-471A-A368-992AD672AD84}"/>
    <cellStyle name="Normal 7" xfId="18" xr:uid="{6F4FDA77-E942-4142-A635-F8BD0ECE14A2}"/>
    <cellStyle name="Normal 8" xfId="28" xr:uid="{8249CC37-C9EE-493D-8B6F-ABFEE0AE0DE8}"/>
    <cellStyle name="Normal 9" xfId="19" xr:uid="{2AF11909-4B6A-4756-A1D2-AFE78F3C6AC4}"/>
    <cellStyle name="Normal 9 2" xfId="20" xr:uid="{B18888ED-7E70-472A-A8F6-48F3278C66BF}"/>
    <cellStyle name="Normal_21 Exh B" xfId="5" xr:uid="{8675F6DA-E127-4453-BC1C-01E2F6F455A9}"/>
    <cellStyle name="Normal_21 Exh B 2" xfId="6" xr:uid="{560A7086-A5C8-41C4-8FF6-6CF712F6AF63}"/>
    <cellStyle name="Normal_AR workpaper --2002 Def Tax Exp by Account 8-14-02" xfId="25" xr:uid="{D40D4DDD-DBCA-43A0-8716-8F4CB11A023A}"/>
    <cellStyle name="Normal_Attachment GG Template ER11-28 11-18-10" xfId="24" xr:uid="{0D965F18-19DE-47F3-9936-9B9F4A386EDF}"/>
    <cellStyle name="Normal_Attachment Os for 2002 True-up" xfId="11" xr:uid="{6550FF5B-7D1A-4E52-9F77-5563FB6C4794}"/>
    <cellStyle name="Normal_TrAILCo attach 6 &amp; 7 and Appendix A" xfId="23" xr:uid="{9E830325-8A59-41B8-A53B-911B25F94942}"/>
    <cellStyle name="Percent" xfId="4" builtinId="5"/>
    <cellStyle name="Percent 2 2" xfId="16" xr:uid="{AECC7109-A1E3-437A-B5F9-412E8F512023}"/>
    <cellStyle name="Percent 5" xfId="30" xr:uid="{1BF04BE0-E404-4C23-B103-2B0C80F3287E}"/>
    <cellStyle name="Percent 7 2" xfId="27" xr:uid="{4E8CCE3C-DE84-4A1D-A8DC-4FE423FBBA9A}"/>
    <cellStyle name="Percent 8 2 5" xfId="9" xr:uid="{BBC53606-7E52-49E3-A0F9-B0537E872A8B}"/>
    <cellStyle name="Percent 8 3" xfId="10" xr:uid="{914C9327-2819-4BBA-93EB-F744DA5042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600EB-44D3-489E-9EE9-48C416B11CA8}">
  <sheetPr>
    <pageSetUpPr fitToPage="1"/>
  </sheetPr>
  <dimension ref="A1:L68"/>
  <sheetViews>
    <sheetView view="pageBreakPreview" zoomScaleNormal="100" zoomScaleSheetLayoutView="100" workbookViewId="0">
      <selection sqref="A1:E1"/>
    </sheetView>
  </sheetViews>
  <sheetFormatPr defaultRowHeight="15.75"/>
  <cols>
    <col min="1" max="1" width="10" style="2" bestFit="1" customWidth="1"/>
    <col min="2" max="2" width="5" style="8" customWidth="1"/>
    <col min="3" max="3" width="59" style="2" bestFit="1" customWidth="1"/>
    <col min="4" max="7" width="8.88671875" style="2"/>
  </cols>
  <sheetData>
    <row r="1" spans="1:12">
      <c r="A1" s="1013" t="str">
        <f>+'Appendix III'!E7</f>
        <v>GridLiance West LLC (GLW)</v>
      </c>
      <c r="B1" s="1013"/>
      <c r="C1" s="1013"/>
    </row>
    <row r="2" spans="1:12">
      <c r="A2" s="1013" t="s">
        <v>0</v>
      </c>
      <c r="B2" s="1013"/>
      <c r="C2" s="1013"/>
    </row>
    <row r="6" spans="1:12">
      <c r="A6" s="2" t="s">
        <v>1</v>
      </c>
      <c r="B6" s="3" t="s">
        <v>2</v>
      </c>
      <c r="C6" s="2" t="s">
        <v>3</v>
      </c>
    </row>
    <row r="7" spans="1:12">
      <c r="A7" s="2" t="s">
        <v>4</v>
      </c>
      <c r="B7" s="3">
        <v>1</v>
      </c>
      <c r="C7" s="2" t="s">
        <v>5</v>
      </c>
    </row>
    <row r="8" spans="1:12">
      <c r="A8" s="2" t="s">
        <v>4</v>
      </c>
      <c r="B8" s="3">
        <f>+B7+1</f>
        <v>2</v>
      </c>
      <c r="C8" s="2" t="s">
        <v>6</v>
      </c>
      <c r="L8" s="4"/>
    </row>
    <row r="9" spans="1:12">
      <c r="A9" s="2" t="s">
        <v>4</v>
      </c>
      <c r="B9" s="3" t="s">
        <v>7</v>
      </c>
      <c r="C9" s="2" t="s">
        <v>6</v>
      </c>
    </row>
    <row r="10" spans="1:12">
      <c r="A10" s="2" t="s">
        <v>4</v>
      </c>
      <c r="B10" s="3" t="s">
        <v>8</v>
      </c>
      <c r="C10" s="2" t="s">
        <v>6</v>
      </c>
    </row>
    <row r="11" spans="1:12">
      <c r="A11" s="2" t="s">
        <v>4</v>
      </c>
      <c r="B11" s="3">
        <f>+B8+1</f>
        <v>3</v>
      </c>
      <c r="C11" s="2" t="s">
        <v>9</v>
      </c>
    </row>
    <row r="12" spans="1:12">
      <c r="A12" s="2" t="s">
        <v>4</v>
      </c>
      <c r="B12" s="3" t="s">
        <v>10</v>
      </c>
      <c r="C12" s="2" t="s">
        <v>11</v>
      </c>
    </row>
    <row r="13" spans="1:12">
      <c r="A13" s="2" t="s">
        <v>4</v>
      </c>
      <c r="B13" s="3">
        <v>4</v>
      </c>
      <c r="C13" s="2" t="s">
        <v>12</v>
      </c>
    </row>
    <row r="14" spans="1:12">
      <c r="A14" s="5" t="s">
        <v>4</v>
      </c>
      <c r="B14" s="6" t="s">
        <v>13</v>
      </c>
      <c r="C14" s="5" t="s">
        <v>14</v>
      </c>
    </row>
    <row r="15" spans="1:12">
      <c r="A15" s="2" t="s">
        <v>4</v>
      </c>
      <c r="B15" s="3">
        <f>+B13+1</f>
        <v>5</v>
      </c>
      <c r="C15" s="2" t="s">
        <v>15</v>
      </c>
    </row>
    <row r="16" spans="1:12">
      <c r="A16" s="2" t="s">
        <v>4</v>
      </c>
      <c r="B16" s="3" t="s">
        <v>16</v>
      </c>
      <c r="C16" s="2" t="s">
        <v>17</v>
      </c>
    </row>
    <row r="17" spans="1:3">
      <c r="A17" s="2" t="s">
        <v>4</v>
      </c>
      <c r="B17" s="3" t="s">
        <v>18</v>
      </c>
      <c r="C17" s="2" t="s">
        <v>19</v>
      </c>
    </row>
    <row r="18" spans="1:3">
      <c r="A18" s="2" t="s">
        <v>4</v>
      </c>
      <c r="B18" s="3" t="s">
        <v>20</v>
      </c>
      <c r="C18" s="2" t="s">
        <v>21</v>
      </c>
    </row>
    <row r="19" spans="1:3">
      <c r="A19" s="2" t="s">
        <v>4</v>
      </c>
      <c r="B19" s="3" t="s">
        <v>22</v>
      </c>
      <c r="C19" s="2" t="s">
        <v>23</v>
      </c>
    </row>
    <row r="20" spans="1:3">
      <c r="A20" s="2" t="s">
        <v>4</v>
      </c>
      <c r="B20" s="3" t="s">
        <v>24</v>
      </c>
      <c r="C20" s="2" t="s">
        <v>25</v>
      </c>
    </row>
    <row r="21" spans="1:3">
      <c r="A21" s="2" t="s">
        <v>4</v>
      </c>
      <c r="B21" s="3" t="s">
        <v>26</v>
      </c>
      <c r="C21" s="2" t="s">
        <v>27</v>
      </c>
    </row>
    <row r="22" spans="1:3">
      <c r="A22" s="2" t="s">
        <v>4</v>
      </c>
      <c r="B22" s="3" t="s">
        <v>28</v>
      </c>
      <c r="C22" s="2" t="s">
        <v>29</v>
      </c>
    </row>
    <row r="23" spans="1:3">
      <c r="A23" s="2" t="s">
        <v>4</v>
      </c>
      <c r="B23" s="3">
        <f>+B22+1</f>
        <v>8</v>
      </c>
      <c r="C23" s="2" t="s">
        <v>30</v>
      </c>
    </row>
    <row r="24" spans="1:3">
      <c r="A24" s="2" t="s">
        <v>4</v>
      </c>
      <c r="B24" s="3">
        <f>+B23+1</f>
        <v>9</v>
      </c>
      <c r="C24" s="2" t="s">
        <v>31</v>
      </c>
    </row>
    <row r="25" spans="1:3">
      <c r="A25" s="2" t="s">
        <v>4</v>
      </c>
      <c r="B25" s="7">
        <v>10</v>
      </c>
      <c r="C25" s="2" t="s">
        <v>32</v>
      </c>
    </row>
    <row r="26" spans="1:3">
      <c r="A26" s="2" t="s">
        <v>4</v>
      </c>
      <c r="B26" s="7">
        <v>11</v>
      </c>
      <c r="C26" s="2" t="s">
        <v>33</v>
      </c>
    </row>
    <row r="27" spans="1:3">
      <c r="A27" s="2" t="s">
        <v>4</v>
      </c>
      <c r="B27" s="7">
        <v>12</v>
      </c>
      <c r="C27" s="2" t="s">
        <v>34</v>
      </c>
    </row>
    <row r="28" spans="1:3">
      <c r="A28" s="2" t="s">
        <v>35</v>
      </c>
      <c r="B28" s="7"/>
      <c r="C28" s="2" t="s">
        <v>36</v>
      </c>
    </row>
    <row r="29" spans="1:3">
      <c r="B29" s="7"/>
    </row>
    <row r="30" spans="1:3">
      <c r="B30" s="7"/>
    </row>
    <row r="31" spans="1:3">
      <c r="B31" s="3"/>
    </row>
    <row r="68" spans="4:10">
      <c r="D68" s="2" t="s">
        <v>37</v>
      </c>
      <c r="E68" s="2">
        <f>(E108-E103)/8</f>
        <v>0</v>
      </c>
      <c r="J68" s="2">
        <f>(J108-J103)/8</f>
        <v>0</v>
      </c>
    </row>
  </sheetData>
  <mergeCells count="2">
    <mergeCell ref="A1:C1"/>
    <mergeCell ref="A2:C2"/>
  </mergeCells>
  <pageMargins left="0.7" right="0.7" top="0.75" bottom="0.75" header="0.3" footer="0.3"/>
  <pageSetup orientation="landscape"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716F3-162D-479D-AB2E-FC049906D1C0}">
  <dimension ref="A1:IV460"/>
  <sheetViews>
    <sheetView tabSelected="1" view="pageBreakPreview" zoomScale="70" zoomScaleNormal="100" zoomScaleSheetLayoutView="70" workbookViewId="0">
      <selection activeCell="I22" sqref="I22"/>
    </sheetView>
  </sheetViews>
  <sheetFormatPr defaultColWidth="8.44140625" defaultRowHeight="15.75"/>
  <cols>
    <col min="1" max="1" width="6" style="9" customWidth="1"/>
    <col min="2" max="2" width="1.44140625" style="9" customWidth="1"/>
    <col min="3" max="3" width="45.77734375" style="9" customWidth="1"/>
    <col min="4" max="4" width="38.44140625" style="9" customWidth="1"/>
    <col min="5" max="5" width="16.44140625" style="9" customWidth="1"/>
    <col min="6" max="6" width="13" style="9" customWidth="1"/>
    <col min="7" max="7" width="7.77734375" style="9" customWidth="1"/>
    <col min="8" max="8" width="13.44140625" style="9" customWidth="1"/>
    <col min="9" max="9" width="6.77734375" style="9" customWidth="1"/>
    <col min="10" max="10" width="15.44140625" style="9" customWidth="1"/>
    <col min="11" max="11" width="8.77734375" style="14" customWidth="1"/>
    <col min="12" max="12" width="13.109375" style="14" customWidth="1"/>
    <col min="13" max="13" width="14.44140625" style="14" customWidth="1"/>
    <col min="14" max="14" width="31.33203125" style="14" bestFit="1" customWidth="1"/>
    <col min="15" max="15" width="19.77734375" style="14" bestFit="1" customWidth="1"/>
    <col min="16" max="17" width="8.44140625" style="14"/>
    <col min="18" max="16384" width="8.44140625" style="16"/>
  </cols>
  <sheetData>
    <row r="1" spans="1:61">
      <c r="C1" s="10"/>
      <c r="D1" s="10"/>
      <c r="E1" s="11"/>
      <c r="F1" s="10"/>
      <c r="G1" s="10"/>
      <c r="H1" s="10"/>
      <c r="I1" s="10"/>
      <c r="J1" s="12"/>
      <c r="K1" s="13"/>
      <c r="L1" s="13"/>
      <c r="M1" s="13"/>
      <c r="N1" s="14" t="s">
        <v>38</v>
      </c>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row>
    <row r="2" spans="1:61">
      <c r="C2" s="10"/>
      <c r="D2" s="10"/>
      <c r="E2" s="11"/>
      <c r="F2" s="10"/>
      <c r="G2" s="10"/>
      <c r="H2" s="10"/>
      <c r="I2" s="10"/>
      <c r="K2" s="13"/>
      <c r="L2" s="13"/>
      <c r="M2" s="13" t="s">
        <v>39</v>
      </c>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row>
    <row r="3" spans="1:61">
      <c r="C3" s="10"/>
      <c r="D3" s="10"/>
      <c r="E3" s="11"/>
      <c r="F3" s="10"/>
      <c r="G3" s="10"/>
      <c r="H3" s="10"/>
      <c r="I3" s="10"/>
      <c r="J3" s="12"/>
      <c r="K3" s="17"/>
      <c r="L3" s="17"/>
      <c r="M3" s="17" t="s">
        <v>40</v>
      </c>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row>
    <row r="4" spans="1:61">
      <c r="C4" s="10"/>
      <c r="D4" s="10"/>
      <c r="E4" s="11"/>
      <c r="F4" s="10"/>
      <c r="G4" s="10"/>
      <c r="H4" s="10"/>
      <c r="I4" s="10"/>
      <c r="J4" s="10"/>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row>
    <row r="5" spans="1:61">
      <c r="D5" s="18"/>
      <c r="E5" s="19" t="s">
        <v>41</v>
      </c>
      <c r="F5" s="10"/>
      <c r="G5" s="10"/>
      <c r="H5" s="10"/>
      <c r="I5" s="10"/>
      <c r="L5" s="20"/>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row>
    <row r="6" spans="1:61">
      <c r="C6" s="10"/>
      <c r="D6" s="21"/>
      <c r="E6" s="22" t="s">
        <v>42</v>
      </c>
      <c r="F6" s="21"/>
      <c r="G6" s="21"/>
      <c r="H6" s="21"/>
      <c r="I6" s="10"/>
      <c r="J6" s="23"/>
      <c r="K6" s="24"/>
      <c r="L6" s="24"/>
      <c r="M6" s="25" t="s">
        <v>43</v>
      </c>
      <c r="N6" s="26" t="s">
        <v>44</v>
      </c>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row>
    <row r="7" spans="1:61" ht="18">
      <c r="E7" s="27" t="s">
        <v>45</v>
      </c>
      <c r="K7" s="28"/>
      <c r="L7" s="29"/>
      <c r="M7" s="30" t="str">
        <f>"For The 12 Months Ended "&amp; TEXT(N7,"mm/dd/yyyy")</f>
        <v>For The 12 Months Ended 12/31/2027</v>
      </c>
      <c r="N7" s="31">
        <v>46752</v>
      </c>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row>
    <row r="8" spans="1:61">
      <c r="A8" s="32"/>
      <c r="C8" s="10" t="s">
        <v>46</v>
      </c>
      <c r="E8" s="33"/>
      <c r="L8" s="34"/>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row>
    <row r="9" spans="1:61">
      <c r="A9" s="32"/>
      <c r="E9" s="35" t="s">
        <v>47</v>
      </c>
      <c r="H9" s="35" t="s">
        <v>48</v>
      </c>
      <c r="J9" s="35" t="s">
        <v>49</v>
      </c>
      <c r="L9" s="36"/>
      <c r="M9" s="36"/>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row>
    <row r="10" spans="1:61">
      <c r="A10" s="32"/>
      <c r="M10" s="37"/>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row>
    <row r="11" spans="1:61">
      <c r="A11" s="32" t="s">
        <v>50</v>
      </c>
      <c r="E11" s="33"/>
      <c r="J11" s="32" t="s">
        <v>51</v>
      </c>
      <c r="M11" s="37"/>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row>
    <row r="12" spans="1:61" ht="16.5" thickBot="1">
      <c r="A12" s="38" t="s">
        <v>52</v>
      </c>
      <c r="J12" s="38" t="s">
        <v>53</v>
      </c>
      <c r="L12" s="37"/>
      <c r="M12" s="37"/>
      <c r="N12" s="20"/>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row>
    <row r="13" spans="1:61">
      <c r="A13" s="32">
        <v>1</v>
      </c>
      <c r="C13" s="9" t="s">
        <v>54</v>
      </c>
      <c r="D13" s="9" t="str">
        <f>"(line "&amp;A141&amp;")"</f>
        <v>(line 67)</v>
      </c>
      <c r="E13" s="21"/>
      <c r="H13" s="39" t="s">
        <v>55</v>
      </c>
      <c r="J13" s="40">
        <f>+J141</f>
        <v>159717821.20781446</v>
      </c>
      <c r="M13" s="41"/>
      <c r="N13" s="20"/>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row>
    <row r="14" spans="1:61">
      <c r="A14" s="32"/>
      <c r="J14" s="42"/>
      <c r="N14" s="20"/>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row>
    <row r="15" spans="1:61">
      <c r="A15" s="32"/>
      <c r="J15" s="43"/>
      <c r="N15" s="20"/>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row>
    <row r="16" spans="1:61" ht="16.5" thickBot="1">
      <c r="A16" s="32" t="s">
        <v>55</v>
      </c>
      <c r="C16" s="9" t="s">
        <v>56</v>
      </c>
      <c r="D16" s="21"/>
      <c r="E16" s="38" t="s">
        <v>57</v>
      </c>
      <c r="F16" s="21"/>
      <c r="G16" s="44" t="s">
        <v>58</v>
      </c>
      <c r="H16" s="44"/>
      <c r="J16" s="43"/>
      <c r="N16" s="20"/>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row>
    <row r="17" spans="1:61">
      <c r="A17" s="32">
        <f>+A13+1</f>
        <v>2</v>
      </c>
      <c r="C17" s="9" t="str">
        <f>+'1 - Revenue Credits'!B15</f>
        <v>Total Revenue Credits</v>
      </c>
      <c r="D17" s="21" t="str">
        <f>"Attach 1, line "&amp;'1 - Revenue Credits'!A15&amp;""</f>
        <v>Attach 1, line 7</v>
      </c>
      <c r="E17" s="45">
        <f>+'1 - Revenue Credits'!D15</f>
        <v>121040</v>
      </c>
      <c r="F17" s="21"/>
      <c r="G17" s="21" t="str">
        <f>+G40</f>
        <v>TP</v>
      </c>
      <c r="H17" s="46">
        <f>+J$168</f>
        <v>1</v>
      </c>
      <c r="I17" s="21"/>
      <c r="J17" s="45">
        <f>+H17*E17</f>
        <v>121040</v>
      </c>
      <c r="L17" s="47"/>
      <c r="M17" s="47"/>
      <c r="N17" s="20"/>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row>
    <row r="18" spans="1:61">
      <c r="A18" s="32">
        <f>+A17+1</f>
        <v>3</v>
      </c>
      <c r="C18" s="9" t="s">
        <v>59</v>
      </c>
      <c r="D18" s="48" t="s">
        <v>60</v>
      </c>
      <c r="E18" s="49">
        <f>'5 - True-Up'!H21</f>
        <v>8150934.9274789765</v>
      </c>
      <c r="G18" s="9" t="s">
        <v>61</v>
      </c>
      <c r="H18" s="50">
        <v>1</v>
      </c>
      <c r="J18" s="51">
        <f>+H18*E18</f>
        <v>8150934.9274789765</v>
      </c>
      <c r="N18" s="20"/>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row>
    <row r="19" spans="1:61">
      <c r="A19" s="32"/>
      <c r="J19" s="21"/>
      <c r="N19" s="20"/>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row>
    <row r="20" spans="1:61" ht="16.5" thickBot="1">
      <c r="A20" s="32">
        <f>+A18+1</f>
        <v>4</v>
      </c>
      <c r="C20" s="9" t="s">
        <v>62</v>
      </c>
      <c r="D20" s="9" t="str">
        <f>"(line "&amp;A13&amp;" minus line "&amp;A17&amp;" plus line "&amp;A18&amp;")"</f>
        <v>(line 1 minus line 2 plus line 3)</v>
      </c>
      <c r="F20" s="21"/>
      <c r="G20" s="21"/>
      <c r="H20" s="21"/>
      <c r="I20" s="21"/>
      <c r="J20" s="52">
        <f>+J13-J17+J18</f>
        <v>167747716.13529342</v>
      </c>
      <c r="M20" s="53"/>
      <c r="N20" s="20"/>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row>
    <row r="21" spans="1:61" ht="16.5" thickTop="1">
      <c r="A21" s="32"/>
      <c r="E21" s="54"/>
      <c r="F21" s="21"/>
      <c r="G21" s="21"/>
      <c r="H21" s="21"/>
      <c r="I21" s="21"/>
      <c r="N21" s="20"/>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row>
    <row r="22" spans="1:61">
      <c r="A22" s="32"/>
      <c r="D22" s="21"/>
      <c r="J22" s="21"/>
      <c r="N22" s="20"/>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row>
    <row r="23" spans="1:61">
      <c r="A23" s="32"/>
      <c r="E23" s="21"/>
      <c r="J23" s="21"/>
      <c r="N23" s="20"/>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row>
    <row r="24" spans="1:61">
      <c r="A24" s="32"/>
      <c r="E24" s="21"/>
      <c r="J24" s="21"/>
      <c r="N24" s="20"/>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row>
    <row r="25" spans="1:61">
      <c r="C25" s="10"/>
      <c r="D25" s="10"/>
      <c r="E25" s="11"/>
      <c r="F25" s="10"/>
      <c r="G25" s="10"/>
      <c r="H25" s="10"/>
      <c r="I25" s="10"/>
      <c r="J25" s="10"/>
      <c r="K25" s="37"/>
      <c r="L25" s="37"/>
      <c r="M25" s="13"/>
      <c r="N25" s="20"/>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row>
    <row r="26" spans="1:61">
      <c r="C26" s="10"/>
      <c r="D26" s="10"/>
      <c r="E26" s="11"/>
      <c r="F26" s="10"/>
      <c r="G26" s="10"/>
      <c r="H26" s="10"/>
      <c r="I26" s="10"/>
      <c r="J26" s="12"/>
      <c r="K26" s="13"/>
      <c r="L26" s="13"/>
      <c r="M26" s="13" t="s">
        <v>39</v>
      </c>
      <c r="N26" s="20"/>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row>
    <row r="27" spans="1:61">
      <c r="C27" s="10"/>
      <c r="D27" s="10"/>
      <c r="E27" s="11"/>
      <c r="F27" s="10"/>
      <c r="G27" s="10"/>
      <c r="H27" s="10"/>
      <c r="I27" s="10"/>
      <c r="J27" s="55"/>
      <c r="K27" s="17"/>
      <c r="L27" s="17"/>
      <c r="M27" s="17" t="s">
        <v>63</v>
      </c>
      <c r="N27" s="20"/>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row>
    <row r="28" spans="1:61">
      <c r="C28" s="10"/>
      <c r="D28" s="10"/>
      <c r="E28" s="11"/>
      <c r="F28" s="10"/>
      <c r="G28" s="10"/>
      <c r="H28" s="10"/>
      <c r="I28" s="10"/>
      <c r="J28" s="10"/>
      <c r="L28" s="17"/>
      <c r="M28" s="17"/>
      <c r="N28" s="20"/>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row>
    <row r="29" spans="1:61">
      <c r="C29" s="10"/>
      <c r="D29" s="10"/>
      <c r="E29" s="11"/>
      <c r="F29" s="10"/>
      <c r="G29" s="10"/>
      <c r="H29" s="10"/>
      <c r="I29" s="10"/>
      <c r="J29" s="10"/>
      <c r="L29" s="17"/>
      <c r="N29" s="20"/>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row>
    <row r="30" spans="1:61">
      <c r="C30" s="10" t="s">
        <v>46</v>
      </c>
      <c r="D30" s="18"/>
      <c r="E30" s="19" t="s">
        <v>41</v>
      </c>
      <c r="F30" s="10"/>
      <c r="G30" s="10"/>
      <c r="H30" s="10"/>
      <c r="I30" s="10"/>
      <c r="N30" s="20"/>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row>
    <row r="31" spans="1:61">
      <c r="C31" s="10"/>
      <c r="D31" s="21" t="s">
        <v>55</v>
      </c>
      <c r="E31" s="22" t="s">
        <v>42</v>
      </c>
      <c r="F31" s="21"/>
      <c r="G31" s="21"/>
      <c r="H31" s="21"/>
      <c r="I31" s="10"/>
      <c r="J31" s="10"/>
      <c r="N31" s="20"/>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row>
    <row r="32" spans="1:61">
      <c r="C32" s="10"/>
      <c r="D32" s="21"/>
      <c r="E32" s="1" t="str">
        <f>+E7</f>
        <v>GridLiance West LLC (GLW)</v>
      </c>
      <c r="F32" s="21"/>
      <c r="G32" s="21"/>
      <c r="H32" s="21"/>
      <c r="I32" s="10"/>
      <c r="J32" s="10"/>
      <c r="K32" s="24"/>
      <c r="L32" s="24"/>
      <c r="M32" s="56" t="str">
        <f>+M7</f>
        <v>For The 12 Months Ended 12/31/2027</v>
      </c>
      <c r="N32" s="20"/>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row>
    <row r="33" spans="1:61">
      <c r="E33" s="16"/>
      <c r="F33" s="21"/>
      <c r="G33" s="21"/>
      <c r="H33" s="21"/>
      <c r="I33" s="21"/>
      <c r="J33" s="21"/>
      <c r="K33" s="57"/>
      <c r="L33" s="57"/>
      <c r="M33" s="47"/>
      <c r="N33" s="20"/>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row>
    <row r="34" spans="1:61">
      <c r="C34" s="58" t="s">
        <v>47</v>
      </c>
      <c r="D34" s="58" t="s">
        <v>48</v>
      </c>
      <c r="E34" s="58" t="s">
        <v>49</v>
      </c>
      <c r="F34" s="21" t="s">
        <v>55</v>
      </c>
      <c r="G34" s="21"/>
      <c r="H34" s="59" t="s">
        <v>64</v>
      </c>
      <c r="I34" s="21"/>
      <c r="J34" s="60" t="s">
        <v>65</v>
      </c>
      <c r="K34" s="57"/>
      <c r="L34" s="36"/>
      <c r="M34" s="36"/>
      <c r="N34" s="20"/>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row>
    <row r="35" spans="1:61">
      <c r="D35" s="61"/>
      <c r="E35" s="21"/>
      <c r="F35" s="21"/>
      <c r="G35" s="21"/>
      <c r="H35" s="32"/>
      <c r="I35" s="21"/>
      <c r="J35" s="62" t="s">
        <v>66</v>
      </c>
      <c r="K35" s="57"/>
      <c r="L35" s="26"/>
      <c r="M35" s="26"/>
      <c r="N35" s="20"/>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row>
    <row r="36" spans="1:61">
      <c r="A36" s="32" t="s">
        <v>50</v>
      </c>
      <c r="D36" s="63" t="s">
        <v>67</v>
      </c>
      <c r="E36" s="62" t="s">
        <v>68</v>
      </c>
      <c r="F36" s="64"/>
      <c r="G36" s="62" t="s">
        <v>69</v>
      </c>
      <c r="I36" s="64"/>
      <c r="J36" s="32" t="s">
        <v>70</v>
      </c>
      <c r="K36" s="57"/>
      <c r="L36" s="37"/>
      <c r="M36" s="37"/>
      <c r="N36" s="20"/>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row>
    <row r="37" spans="1:61" ht="16.5" thickBot="1">
      <c r="A37" s="38" t="s">
        <v>52</v>
      </c>
      <c r="C37" s="65" t="s">
        <v>71</v>
      </c>
      <c r="D37" s="21"/>
      <c r="E37" s="21"/>
      <c r="F37" s="21"/>
      <c r="G37" s="21"/>
      <c r="H37" s="21"/>
      <c r="I37" s="21"/>
      <c r="J37" s="21"/>
      <c r="K37" s="57"/>
      <c r="L37" s="57"/>
      <c r="M37" s="57"/>
      <c r="N37" s="20"/>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row>
    <row r="38" spans="1:61">
      <c r="A38" s="32"/>
      <c r="D38" s="21"/>
      <c r="E38" s="21"/>
      <c r="F38" s="21"/>
      <c r="G38" s="21"/>
      <c r="H38" s="21"/>
      <c r="I38" s="21"/>
      <c r="J38" s="21"/>
      <c r="K38" s="57"/>
      <c r="L38" s="57"/>
      <c r="M38" s="57"/>
      <c r="N38" s="20"/>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row>
    <row r="39" spans="1:61">
      <c r="A39" s="32"/>
      <c r="C39" s="9" t="s">
        <v>72</v>
      </c>
      <c r="D39" s="21"/>
      <c r="E39" s="21"/>
      <c r="F39" s="21"/>
      <c r="G39" s="21"/>
      <c r="H39" s="21"/>
      <c r="I39" s="21"/>
      <c r="J39" s="21"/>
      <c r="K39" s="57"/>
      <c r="L39" s="57"/>
      <c r="M39" s="57"/>
      <c r="N39" s="20"/>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row>
    <row r="40" spans="1:61">
      <c r="A40" s="32">
        <f>+A20+1</f>
        <v>5</v>
      </c>
      <c r="C40" s="9" t="s">
        <v>73</v>
      </c>
      <c r="D40" s="21" t="s">
        <v>74</v>
      </c>
      <c r="E40" s="45">
        <f>+'2 - Cost Support '!F20</f>
        <v>310275232.7838462</v>
      </c>
      <c r="F40" s="21"/>
      <c r="G40" s="21" t="s">
        <v>75</v>
      </c>
      <c r="H40" s="66">
        <f>+J$168</f>
        <v>1</v>
      </c>
      <c r="I40" s="21"/>
      <c r="J40" s="51">
        <f>+H40*E40</f>
        <v>310275232.7838462</v>
      </c>
      <c r="K40" s="57"/>
      <c r="M40" s="17"/>
      <c r="N40" s="67"/>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row>
    <row r="41" spans="1:61">
      <c r="A41" s="32">
        <f>+A40+1</f>
        <v>6</v>
      </c>
      <c r="C41" s="68" t="s">
        <v>76</v>
      </c>
      <c r="D41" s="69" t="s">
        <v>77</v>
      </c>
      <c r="E41" s="70">
        <f>+'2 - Cost Support '!F36+'2 - Cost Support '!F52</f>
        <v>2230547.6407692302</v>
      </c>
      <c r="F41" s="69"/>
      <c r="G41" s="69" t="s">
        <v>78</v>
      </c>
      <c r="H41" s="71">
        <f>+J$174</f>
        <v>1</v>
      </c>
      <c r="I41" s="69"/>
      <c r="J41" s="72">
        <f>+H41*E41</f>
        <v>2230547.6407692302</v>
      </c>
      <c r="K41" s="57"/>
      <c r="M41" s="17"/>
      <c r="N41" s="67"/>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row>
    <row r="42" spans="1:61">
      <c r="A42" s="32">
        <f>+A41+1</f>
        <v>7</v>
      </c>
      <c r="C42" s="10" t="str">
        <f>"TOTAL GROSS PLANT (sum lines "&amp;A40&amp;"-"&amp;A41&amp;")"</f>
        <v>TOTAL GROSS PLANT (sum lines 5-6)</v>
      </c>
      <c r="D42" s="1015" t="s">
        <v>55</v>
      </c>
      <c r="E42" s="45">
        <f>SUM(E40:E41)</f>
        <v>312505780.42461544</v>
      </c>
      <c r="F42" s="21"/>
      <c r="G42" s="21" t="s">
        <v>79</v>
      </c>
      <c r="H42" s="73">
        <f>IF(E42=0,0,J42/E42)</f>
        <v>1</v>
      </c>
      <c r="I42" s="21"/>
      <c r="J42" s="51">
        <f>SUM(J40:J41)</f>
        <v>312505780.42461544</v>
      </c>
      <c r="K42" s="57"/>
      <c r="M42" s="57"/>
      <c r="N42" s="47"/>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row>
    <row r="43" spans="1:61">
      <c r="A43" s="32"/>
      <c r="D43" s="1015"/>
      <c r="E43" s="45"/>
      <c r="F43" s="21"/>
      <c r="G43" s="21"/>
      <c r="H43" s="74"/>
      <c r="I43" s="21"/>
      <c r="J43" s="51"/>
      <c r="K43" s="57"/>
      <c r="M43" s="57"/>
      <c r="N43" s="7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row>
    <row r="44" spans="1:61">
      <c r="A44" s="32">
        <f>+A42+1</f>
        <v>8</v>
      </c>
      <c r="C44" s="9" t="s">
        <v>80</v>
      </c>
      <c r="D44" s="21"/>
      <c r="E44" s="45"/>
      <c r="F44" s="21"/>
      <c r="G44" s="21"/>
      <c r="H44" s="66"/>
      <c r="I44" s="21"/>
      <c r="J44" s="51"/>
      <c r="K44" s="57"/>
      <c r="M44" s="57"/>
      <c r="N44" s="57"/>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row>
    <row r="45" spans="1:61">
      <c r="A45" s="32">
        <f>+A44+1</f>
        <v>9</v>
      </c>
      <c r="C45" s="9" t="s">
        <v>73</v>
      </c>
      <c r="D45" s="21" t="s">
        <v>81</v>
      </c>
      <c r="E45" s="45">
        <f>+'2 - Cost Support '!F73</f>
        <v>33343884.068461541</v>
      </c>
      <c r="F45" s="21"/>
      <c r="G45" s="21" t="str">
        <f>+G40</f>
        <v>TP</v>
      </c>
      <c r="H45" s="66">
        <f>+J$168</f>
        <v>1</v>
      </c>
      <c r="I45" s="21"/>
      <c r="J45" s="51">
        <f>+H45*E45</f>
        <v>33343884.068461541</v>
      </c>
      <c r="K45" s="57"/>
      <c r="M45" s="57"/>
      <c r="N45" s="47"/>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row>
    <row r="46" spans="1:61">
      <c r="A46" s="32">
        <f>+A45+1</f>
        <v>10</v>
      </c>
      <c r="C46" s="68" t="s">
        <v>76</v>
      </c>
      <c r="D46" s="69" t="s">
        <v>82</v>
      </c>
      <c r="E46" s="70">
        <f>+'2 - Cost Support '!F89+'2 - Cost Support '!F105</f>
        <v>3864907.6838461543</v>
      </c>
      <c r="F46" s="69"/>
      <c r="G46" s="69" t="str">
        <f>+G41</f>
        <v>W/S</v>
      </c>
      <c r="H46" s="71">
        <f>+J$174</f>
        <v>1</v>
      </c>
      <c r="I46" s="69"/>
      <c r="J46" s="72">
        <f>+H46*E46</f>
        <v>3864907.6838461543</v>
      </c>
      <c r="K46" s="57"/>
      <c r="M46" s="57"/>
      <c r="N46" s="47"/>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row>
    <row r="47" spans="1:61">
      <c r="A47" s="32">
        <f>+A46+1</f>
        <v>11</v>
      </c>
      <c r="C47" s="9" t="str">
        <f>"TOTAL ACCUM. DEPRECIATION (sum lines "&amp;A45&amp;"-"&amp;A46&amp;")"</f>
        <v>TOTAL ACCUM. DEPRECIATION (sum lines 9-10)</v>
      </c>
      <c r="D47" s="21"/>
      <c r="E47" s="45">
        <f>SUM(E45:E46)</f>
        <v>37208791.752307698</v>
      </c>
      <c r="F47" s="21"/>
      <c r="G47" s="21"/>
      <c r="H47" s="66"/>
      <c r="I47" s="21"/>
      <c r="J47" s="51">
        <f>SUM(J45:J46)</f>
        <v>37208791.752307698</v>
      </c>
      <c r="K47" s="57"/>
      <c r="M47" s="57"/>
      <c r="N47" s="57"/>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row>
    <row r="48" spans="1:61">
      <c r="A48" s="32"/>
      <c r="D48" s="21" t="s">
        <v>55</v>
      </c>
      <c r="E48" s="45"/>
      <c r="F48" s="21"/>
      <c r="G48" s="21"/>
      <c r="H48" s="74"/>
      <c r="I48" s="21"/>
      <c r="J48" s="51"/>
      <c r="K48" s="57"/>
      <c r="L48" s="75"/>
      <c r="M48" s="57"/>
      <c r="N48" s="20"/>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row>
    <row r="49" spans="1:61">
      <c r="A49" s="32">
        <f>+A47+1</f>
        <v>12</v>
      </c>
      <c r="C49" s="9" t="s">
        <v>83</v>
      </c>
      <c r="D49" s="21"/>
      <c r="E49" s="45"/>
      <c r="F49" s="21"/>
      <c r="G49" s="21"/>
      <c r="H49" s="66"/>
      <c r="I49" s="21"/>
      <c r="J49" s="51"/>
      <c r="K49" s="57"/>
      <c r="L49" s="57"/>
      <c r="M49" s="57"/>
      <c r="N49" s="20"/>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row>
    <row r="50" spans="1:61">
      <c r="A50" s="32">
        <f>+A49+1</f>
        <v>13</v>
      </c>
      <c r="C50" s="9" t="s">
        <v>84</v>
      </c>
      <c r="D50" s="21" t="str">
        <f>" (line "&amp;A40&amp;" minus line "&amp;A45&amp;")"</f>
        <v xml:space="preserve"> (line 5 minus line 9)</v>
      </c>
      <c r="E50" s="45">
        <f>+E40-E45</f>
        <v>276931348.71538466</v>
      </c>
      <c r="F50" s="21"/>
      <c r="G50" s="21"/>
      <c r="H50" s="66"/>
      <c r="I50" s="21"/>
      <c r="J50" s="51">
        <f>+J40-J45</f>
        <v>276931348.71538466</v>
      </c>
      <c r="K50" s="57"/>
      <c r="L50" s="75"/>
      <c r="M50" s="47"/>
      <c r="N50" s="20"/>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row>
    <row r="51" spans="1:61">
      <c r="A51" s="32">
        <f>+A50+1</f>
        <v>14</v>
      </c>
      <c r="C51" s="68" t="s">
        <v>85</v>
      </c>
      <c r="D51" s="69" t="str">
        <f>" (line "&amp;A41&amp;" minus line "&amp;A46&amp;")"</f>
        <v xml:space="preserve"> (line 6 minus line 10)</v>
      </c>
      <c r="E51" s="70">
        <f>+E41-E46</f>
        <v>-1634360.043076924</v>
      </c>
      <c r="F51" s="69"/>
      <c r="G51" s="69"/>
      <c r="H51" s="76"/>
      <c r="I51" s="69"/>
      <c r="J51" s="72">
        <f>+J41-J46</f>
        <v>-1634360.043076924</v>
      </c>
      <c r="K51" s="57"/>
      <c r="L51" s="75"/>
      <c r="M51" s="47"/>
      <c r="N51" s="20"/>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row>
    <row r="52" spans="1:61">
      <c r="A52" s="32">
        <f>+A51+1</f>
        <v>15</v>
      </c>
      <c r="C52" s="9" t="str">
        <f>"TOTAL NET PLANT (sum lines "&amp;A50&amp;"-"&amp;A51&amp;")"</f>
        <v>TOTAL NET PLANT (sum lines 13-14)</v>
      </c>
      <c r="D52" s="1015" t="s">
        <v>86</v>
      </c>
      <c r="E52" s="45">
        <f>SUM(E50:E51)</f>
        <v>275296988.67230773</v>
      </c>
      <c r="F52" s="21"/>
      <c r="G52" s="21" t="s">
        <v>87</v>
      </c>
      <c r="H52" s="73">
        <f>IF(E52=0,0,J52/E52)</f>
        <v>1</v>
      </c>
      <c r="I52" s="21"/>
      <c r="J52" s="51">
        <f>SUM(J50:J51)</f>
        <v>275296988.67230773</v>
      </c>
      <c r="K52" s="57"/>
      <c r="L52" s="57"/>
      <c r="M52" s="57"/>
      <c r="N52" s="20"/>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row>
    <row r="53" spans="1:61" ht="15.75" customHeight="1">
      <c r="A53" s="32"/>
      <c r="D53" s="1015"/>
      <c r="E53" s="45"/>
      <c r="F53" s="21"/>
      <c r="H53" s="77"/>
      <c r="I53" s="21"/>
      <c r="J53" s="51"/>
      <c r="K53" s="57"/>
      <c r="L53" s="75"/>
      <c r="M53" s="57"/>
      <c r="N53" s="20"/>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row>
    <row r="54" spans="1:61">
      <c r="A54" s="32">
        <f>+A52+1</f>
        <v>16</v>
      </c>
      <c r="C54" s="10" t="str">
        <f>"ADJUSTMENTS TO RATE BASE       (Note "&amp;A210&amp;")"</f>
        <v>ADJUSTMENTS TO RATE BASE       (Note A)</v>
      </c>
      <c r="D54" s="21"/>
      <c r="E54" s="45"/>
      <c r="F54" s="21"/>
      <c r="G54" s="21"/>
      <c r="H54" s="77"/>
      <c r="I54" s="21"/>
      <c r="J54" s="51"/>
      <c r="K54" s="57"/>
      <c r="L54" s="57"/>
      <c r="M54" s="57"/>
      <c r="N54" s="20"/>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row>
    <row r="55" spans="1:61">
      <c r="A55" s="32">
        <f t="shared" ref="A55:A58" si="0">+A54+1</f>
        <v>17</v>
      </c>
      <c r="C55" s="9" t="s">
        <v>88</v>
      </c>
      <c r="D55" s="21" t="s">
        <v>89</v>
      </c>
      <c r="E55" s="45">
        <f>+'6a-ADIT Projection'!H16</f>
        <v>4338222.3337337896</v>
      </c>
      <c r="F55" s="78"/>
      <c r="G55" s="21" t="s">
        <v>61</v>
      </c>
      <c r="H55" s="77">
        <v>1</v>
      </c>
      <c r="I55" s="21"/>
      <c r="J55" s="45">
        <f t="shared" ref="J55:J60" si="1">+H55*E55</f>
        <v>4338222.3337337896</v>
      </c>
      <c r="K55" s="57"/>
      <c r="L55" s="57"/>
      <c r="M55" s="57"/>
      <c r="N55" s="20"/>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row>
    <row r="56" spans="1:61">
      <c r="A56" s="32">
        <f t="shared" si="0"/>
        <v>18</v>
      </c>
      <c r="C56" s="9" t="s">
        <v>90</v>
      </c>
      <c r="D56" s="21" t="s">
        <v>91</v>
      </c>
      <c r="E56" s="45">
        <f>+'2a - Cost Support'!G7</f>
        <v>0</v>
      </c>
      <c r="F56" s="79"/>
      <c r="G56" s="21" t="s">
        <v>92</v>
      </c>
      <c r="H56" s="77">
        <f>+H$52</f>
        <v>1</v>
      </c>
      <c r="I56" s="21"/>
      <c r="J56" s="80">
        <f t="shared" si="1"/>
        <v>0</v>
      </c>
      <c r="K56" s="57"/>
      <c r="L56" s="57"/>
      <c r="M56" s="57"/>
      <c r="N56" s="20"/>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row>
    <row r="57" spans="1:61">
      <c r="A57" s="32">
        <f t="shared" si="0"/>
        <v>19</v>
      </c>
      <c r="C57" s="9" t="s">
        <v>93</v>
      </c>
      <c r="D57" s="21" t="s">
        <v>94</v>
      </c>
      <c r="E57" s="80">
        <f>+'11 - CWIP'!Y32</f>
        <v>1006948960.0677832</v>
      </c>
      <c r="F57" s="21"/>
      <c r="G57" s="21" t="s">
        <v>61</v>
      </c>
      <c r="H57" s="81">
        <v>1</v>
      </c>
      <c r="I57" s="21"/>
      <c r="J57" s="80">
        <f>+E57*H57</f>
        <v>1006948960.0677832</v>
      </c>
      <c r="K57" s="57"/>
      <c r="L57" s="47"/>
      <c r="M57" s="57"/>
      <c r="N57" s="20"/>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row>
    <row r="58" spans="1:61">
      <c r="A58" s="32">
        <f t="shared" si="0"/>
        <v>20</v>
      </c>
      <c r="C58" s="9" t="s">
        <v>95</v>
      </c>
      <c r="D58" s="21" t="s">
        <v>96</v>
      </c>
      <c r="E58" s="80">
        <f>-'10 - Unfunded Reserves'!W32</f>
        <v>0</v>
      </c>
      <c r="F58" s="21"/>
      <c r="G58" s="21" t="s">
        <v>61</v>
      </c>
      <c r="H58" s="81">
        <v>1</v>
      </c>
      <c r="I58" s="21"/>
      <c r="J58" s="80">
        <f>+H58*E58</f>
        <v>0</v>
      </c>
      <c r="K58" s="57"/>
      <c r="L58" s="47"/>
      <c r="M58" s="57"/>
      <c r="N58" s="20"/>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row>
    <row r="59" spans="1:61">
      <c r="A59" s="32">
        <v>21</v>
      </c>
      <c r="C59" s="9" t="s">
        <v>97</v>
      </c>
      <c r="D59" s="21" t="s">
        <v>98</v>
      </c>
      <c r="E59" s="80">
        <f>+'9 - Reg. Assets and Abnd Plnt'!AD57</f>
        <v>3050269.9199999901</v>
      </c>
      <c r="F59" s="21"/>
      <c r="G59" s="21" t="s">
        <v>61</v>
      </c>
      <c r="H59" s="81">
        <v>1</v>
      </c>
      <c r="I59" s="21"/>
      <c r="J59" s="82">
        <f t="shared" ref="J59" si="2">+H59*E59</f>
        <v>3050269.9199999901</v>
      </c>
      <c r="K59" s="57"/>
      <c r="L59" s="47"/>
      <c r="M59" s="57"/>
      <c r="N59" s="20"/>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row>
    <row r="60" spans="1:61">
      <c r="A60" s="32">
        <v>22</v>
      </c>
      <c r="C60" s="9" t="s">
        <v>99</v>
      </c>
      <c r="D60" s="21" t="s">
        <v>100</v>
      </c>
      <c r="E60" s="80">
        <f>+'9 - Reg. Assets and Abnd Plnt'!AD80</f>
        <v>0</v>
      </c>
      <c r="F60" s="21"/>
      <c r="G60" s="21" t="s">
        <v>61</v>
      </c>
      <c r="H60" s="81">
        <v>1</v>
      </c>
      <c r="I60" s="21"/>
      <c r="J60" s="82">
        <f t="shared" si="1"/>
        <v>0</v>
      </c>
      <c r="K60" s="57"/>
      <c r="L60" s="57"/>
      <c r="M60" s="57"/>
      <c r="N60" s="20"/>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row>
    <row r="61" spans="1:61">
      <c r="A61" s="32">
        <f>+A60+1</f>
        <v>23</v>
      </c>
      <c r="C61" s="83" t="str">
        <f>"TOTAL ADJUSTMENTS  (sum lines "&amp;A55&amp;"-"&amp;A60&amp;")"</f>
        <v>TOTAL ADJUSTMENTS  (sum lines 17-22)</v>
      </c>
      <c r="D61" s="21"/>
      <c r="E61" s="45">
        <f>SUM(E55:E60)</f>
        <v>1014337452.321517</v>
      </c>
      <c r="F61" s="21"/>
      <c r="G61" s="21"/>
      <c r="H61" s="77"/>
      <c r="I61" s="21"/>
      <c r="J61" s="51">
        <f>SUM(J55:J60)</f>
        <v>1014337452.321517</v>
      </c>
      <c r="K61" s="57"/>
      <c r="L61" s="57"/>
      <c r="M61" s="57"/>
      <c r="N61" s="20"/>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row>
    <row r="62" spans="1:61">
      <c r="A62" s="32"/>
      <c r="D62" s="21"/>
      <c r="E62" s="45"/>
      <c r="F62" s="21"/>
      <c r="G62" s="21"/>
      <c r="H62" s="73"/>
      <c r="I62" s="21"/>
      <c r="J62" s="51"/>
      <c r="K62" s="57"/>
      <c r="L62" s="75"/>
      <c r="M62" s="57"/>
      <c r="N62" s="20"/>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row>
    <row r="63" spans="1:61">
      <c r="A63" s="32">
        <f>+A61+1</f>
        <v>24</v>
      </c>
      <c r="C63" s="10" t="s">
        <v>101</v>
      </c>
      <c r="D63" s="21" t="s">
        <v>102</v>
      </c>
      <c r="E63" s="45">
        <f>'8 - Future Use'!E17</f>
        <v>0</v>
      </c>
      <c r="F63" s="21"/>
      <c r="G63" s="21" t="str">
        <f>+G45</f>
        <v>TP</v>
      </c>
      <c r="H63" s="77">
        <f>+J$168</f>
        <v>1</v>
      </c>
      <c r="I63" s="21"/>
      <c r="J63" s="51">
        <f>+H63*E63</f>
        <v>0</v>
      </c>
      <c r="K63" s="57"/>
      <c r="L63" s="57"/>
      <c r="M63" s="57"/>
      <c r="N63" s="20"/>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row>
    <row r="64" spans="1:61">
      <c r="A64" s="32"/>
      <c r="D64" s="21"/>
      <c r="E64" s="45"/>
      <c r="F64" s="21"/>
      <c r="G64" s="21"/>
      <c r="H64" s="77"/>
      <c r="I64" s="21"/>
      <c r="J64" s="51"/>
      <c r="K64" s="57"/>
      <c r="L64" s="57"/>
      <c r="M64" s="57"/>
      <c r="N64" s="20"/>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row>
    <row r="65" spans="1:61">
      <c r="A65" s="32">
        <f>+A63+1</f>
        <v>25</v>
      </c>
      <c r="C65" s="9" t="str">
        <f>"WORKING CAPITAL "</f>
        <v xml:space="preserve">WORKING CAPITAL </v>
      </c>
      <c r="D65" s="21" t="s">
        <v>55</v>
      </c>
      <c r="E65" s="45"/>
      <c r="F65" s="21"/>
      <c r="G65" s="21"/>
      <c r="H65" s="77"/>
      <c r="I65" s="21"/>
      <c r="J65" s="51"/>
      <c r="K65" s="57"/>
      <c r="L65" s="57"/>
      <c r="M65" s="57"/>
      <c r="N65" s="20"/>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row>
    <row r="66" spans="1:61">
      <c r="A66" s="32">
        <f>+A65+1</f>
        <v>26</v>
      </c>
      <c r="C66" s="9" t="s">
        <v>103</v>
      </c>
      <c r="D66" s="9" t="s">
        <v>37</v>
      </c>
      <c r="E66" s="45">
        <f>(E101-E96)/8</f>
        <v>2054462.4953354874</v>
      </c>
      <c r="F66" s="21"/>
      <c r="G66" s="21" t="s">
        <v>104</v>
      </c>
      <c r="H66" s="81"/>
      <c r="I66" s="21"/>
      <c r="J66" s="45">
        <f>(J101-J96)/8</f>
        <v>2054462.4953354874</v>
      </c>
      <c r="K66" s="57"/>
      <c r="L66" s="47"/>
      <c r="M66" s="57"/>
      <c r="N66" s="20"/>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row>
    <row r="67" spans="1:61">
      <c r="A67" s="32">
        <f>+A66+1</f>
        <v>27</v>
      </c>
      <c r="C67" s="9" t="str">
        <f>"  Materials &amp; Supplies  (Note "&amp;A212&amp;")"</f>
        <v xml:space="preserve">  Materials &amp; Supplies  (Note B)</v>
      </c>
      <c r="D67" s="21" t="s">
        <v>105</v>
      </c>
      <c r="E67" s="45">
        <f>+'2a - Cost Support'!G87</f>
        <v>104292.69999999997</v>
      </c>
      <c r="F67" s="21"/>
      <c r="G67" s="21" t="str">
        <f>+G63</f>
        <v>TP</v>
      </c>
      <c r="H67" s="77">
        <f>+J$168</f>
        <v>1</v>
      </c>
      <c r="I67" s="21"/>
      <c r="J67" s="51">
        <f>+H67*E67</f>
        <v>104292.69999999997</v>
      </c>
      <c r="K67" s="57"/>
      <c r="L67" s="75"/>
      <c r="M67" s="84"/>
      <c r="N67" s="20"/>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row>
    <row r="68" spans="1:61">
      <c r="A68" s="32">
        <f>+A67+1</f>
        <v>28</v>
      </c>
      <c r="C68" s="68" t="str">
        <f>"  Prepayments (Account 165 - Note "&amp;A213&amp;")"</f>
        <v xml:space="preserve">  Prepayments (Account 165 - Note C)</v>
      </c>
      <c r="D68" s="69" t="s">
        <v>106</v>
      </c>
      <c r="E68" s="70">
        <f>+'2a - Cost Support'!F25</f>
        <v>795247.50999999989</v>
      </c>
      <c r="F68" s="69"/>
      <c r="G68" s="69" t="s">
        <v>107</v>
      </c>
      <c r="H68" s="85">
        <f>+H$42</f>
        <v>1</v>
      </c>
      <c r="I68" s="69"/>
      <c r="J68" s="72">
        <f>+H68*E68</f>
        <v>795247.50999999989</v>
      </c>
      <c r="K68" s="57"/>
      <c r="L68" s="57"/>
      <c r="M68" s="57"/>
      <c r="N68" s="20"/>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row>
    <row r="69" spans="1:61">
      <c r="A69" s="32">
        <f>+A68+1</f>
        <v>29</v>
      </c>
      <c r="C69" s="9" t="str">
        <f>"TOTAL WORKING CAPITAL (sum lines "&amp;A66&amp;"-"&amp;A68&amp;")"</f>
        <v>TOTAL WORKING CAPITAL (sum lines 26-28)</v>
      </c>
      <c r="E69" s="45">
        <f>SUM(E66:E68)</f>
        <v>2954002.7053354871</v>
      </c>
      <c r="J69" s="51">
        <f>SUM(J66:J68)</f>
        <v>2954002.7053354871</v>
      </c>
      <c r="K69" s="57"/>
      <c r="L69" s="57"/>
      <c r="M69" s="57"/>
      <c r="N69" s="20"/>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row>
    <row r="70" spans="1:61" ht="16.5" thickBot="1">
      <c r="A70" s="32"/>
      <c r="D70" s="21"/>
      <c r="E70" s="86"/>
      <c r="F70" s="21"/>
      <c r="G70" s="21"/>
      <c r="H70" s="21"/>
      <c r="I70" s="21"/>
      <c r="J70" s="87"/>
      <c r="K70" s="57"/>
      <c r="N70" s="20"/>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row>
    <row r="71" spans="1:61" ht="16.5" thickBot="1">
      <c r="A71" s="32">
        <f>+A69+1</f>
        <v>30</v>
      </c>
      <c r="C71" s="9" t="str">
        <f>"RATE BASE  (sum lines "&amp;A52&amp;", "&amp;A61&amp;", "&amp;A63&amp;", &amp; "&amp;A69&amp;")"</f>
        <v>RATE BASE  (sum lines 15, 23, 24, &amp; 29)</v>
      </c>
      <c r="D71" s="21"/>
      <c r="E71" s="88">
        <f>+E52+E61+E63+E69</f>
        <v>1292588443.6991601</v>
      </c>
      <c r="F71" s="21"/>
      <c r="G71" s="21"/>
      <c r="H71" s="89"/>
      <c r="I71" s="21"/>
      <c r="J71" s="88">
        <f>+J52+J61+J63+J69</f>
        <v>1292588443.6991601</v>
      </c>
      <c r="K71" s="57"/>
      <c r="L71" s="57"/>
      <c r="M71" s="57"/>
      <c r="N71" s="20"/>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row>
    <row r="72" spans="1:61" ht="16.5" thickTop="1">
      <c r="A72" s="32"/>
      <c r="D72" s="21"/>
      <c r="E72" s="21"/>
      <c r="F72" s="21"/>
      <c r="G72" s="21"/>
      <c r="H72" s="21"/>
      <c r="I72" s="21"/>
      <c r="J72" s="51"/>
      <c r="K72" s="57"/>
      <c r="L72" s="57"/>
      <c r="M72" s="57"/>
      <c r="N72" s="20"/>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row>
    <row r="73" spans="1:61">
      <c r="A73" s="32"/>
      <c r="D73" s="21"/>
      <c r="E73" s="21"/>
      <c r="F73" s="21"/>
      <c r="G73" s="21"/>
      <c r="H73" s="21"/>
      <c r="I73" s="21"/>
      <c r="J73" s="51"/>
      <c r="K73" s="57"/>
      <c r="L73" s="57"/>
      <c r="M73" s="57"/>
      <c r="N73" s="20"/>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row>
    <row r="74" spans="1:61">
      <c r="A74" s="32"/>
      <c r="C74" s="90"/>
      <c r="D74" s="21"/>
      <c r="E74" s="91"/>
      <c r="F74" s="21"/>
      <c r="G74" s="21"/>
      <c r="H74" s="21"/>
      <c r="I74" s="21"/>
      <c r="J74" s="51"/>
      <c r="K74" s="57"/>
      <c r="L74" s="57"/>
      <c r="M74" s="57"/>
      <c r="N74" s="20"/>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row>
    <row r="75" spans="1:61">
      <c r="A75" s="32"/>
      <c r="C75" s="92"/>
      <c r="D75" s="21"/>
      <c r="E75" s="21"/>
      <c r="F75" s="21"/>
      <c r="G75" s="21"/>
      <c r="H75" s="21"/>
      <c r="I75" s="21"/>
      <c r="J75" s="51"/>
      <c r="K75" s="57"/>
      <c r="L75" s="57"/>
      <c r="M75" s="57"/>
      <c r="N75" s="20"/>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row>
    <row r="76" spans="1:61">
      <c r="A76" s="32"/>
      <c r="C76" s="92"/>
      <c r="D76" s="21"/>
      <c r="E76" s="21"/>
      <c r="F76" s="21"/>
      <c r="G76" s="21"/>
      <c r="H76" s="21"/>
      <c r="I76" s="21"/>
      <c r="J76" s="51"/>
      <c r="K76" s="57"/>
      <c r="L76" s="57"/>
      <c r="M76" s="57"/>
      <c r="N76" s="20"/>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row>
    <row r="77" spans="1:61">
      <c r="A77" s="32"/>
      <c r="D77" s="21"/>
      <c r="E77" s="21"/>
      <c r="F77" s="21"/>
      <c r="G77" s="21"/>
      <c r="H77" s="21"/>
      <c r="I77" s="21"/>
      <c r="J77" s="51"/>
      <c r="K77" s="57"/>
      <c r="L77" s="57"/>
      <c r="M77" s="57"/>
      <c r="N77" s="20"/>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row>
    <row r="78" spans="1:61">
      <c r="A78" s="32"/>
      <c r="C78" s="10"/>
      <c r="D78" s="10"/>
      <c r="E78" s="11"/>
      <c r="F78" s="10"/>
      <c r="G78" s="10"/>
      <c r="H78" s="10"/>
      <c r="I78" s="10"/>
      <c r="J78" s="93"/>
      <c r="K78" s="37"/>
      <c r="L78" s="37"/>
      <c r="M78" s="13" t="s">
        <v>39</v>
      </c>
      <c r="N78" s="20"/>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row>
    <row r="79" spans="1:61">
      <c r="A79" s="32"/>
      <c r="C79" s="10"/>
      <c r="D79" s="10"/>
      <c r="E79" s="11"/>
      <c r="F79" s="10"/>
      <c r="G79" s="10"/>
      <c r="H79" s="10"/>
      <c r="I79" s="10"/>
      <c r="J79" s="94"/>
      <c r="K79" s="13"/>
      <c r="L79" s="13"/>
      <c r="M79" s="17" t="s">
        <v>108</v>
      </c>
      <c r="N79" s="20"/>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row>
    <row r="80" spans="1:61">
      <c r="A80" s="32"/>
      <c r="C80" s="10"/>
      <c r="D80" s="10"/>
      <c r="E80" s="11"/>
      <c r="F80" s="10"/>
      <c r="G80" s="10"/>
      <c r="H80" s="10"/>
      <c r="I80" s="10"/>
      <c r="J80" s="95"/>
      <c r="K80" s="17"/>
      <c r="L80" s="17"/>
      <c r="M80" s="17"/>
      <c r="N80" s="20"/>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row>
    <row r="81" spans="1:61">
      <c r="A81" s="32"/>
      <c r="C81" s="10"/>
      <c r="D81" s="10"/>
      <c r="E81" s="11"/>
      <c r="F81" s="10"/>
      <c r="G81" s="10"/>
      <c r="H81" s="10"/>
      <c r="I81" s="10"/>
      <c r="J81" s="96"/>
      <c r="L81" s="17"/>
      <c r="M81" s="17"/>
      <c r="N81" s="20"/>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row>
    <row r="82" spans="1:61">
      <c r="A82" s="32"/>
      <c r="C82" s="10"/>
      <c r="D82" s="10"/>
      <c r="E82" s="11"/>
      <c r="F82" s="10"/>
      <c r="G82" s="10"/>
      <c r="H82" s="10"/>
      <c r="I82" s="10"/>
      <c r="J82" s="96"/>
      <c r="L82" s="17"/>
      <c r="N82" s="20"/>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row>
    <row r="83" spans="1:61">
      <c r="A83" s="32"/>
      <c r="C83" s="10" t="s">
        <v>46</v>
      </c>
      <c r="D83" s="18"/>
      <c r="E83" s="19" t="s">
        <v>41</v>
      </c>
      <c r="F83" s="10"/>
      <c r="G83" s="10"/>
      <c r="H83" s="10"/>
      <c r="I83" s="10"/>
      <c r="J83" s="51"/>
      <c r="N83" s="20"/>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row>
    <row r="84" spans="1:61">
      <c r="A84" s="32"/>
      <c r="C84" s="10"/>
      <c r="D84" s="21"/>
      <c r="E84" s="22" t="s">
        <v>42</v>
      </c>
      <c r="F84" s="21"/>
      <c r="G84" s="21"/>
      <c r="H84" s="21"/>
      <c r="I84" s="10"/>
      <c r="J84" s="96"/>
      <c r="N84" s="20"/>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row>
    <row r="85" spans="1:61">
      <c r="A85" s="32"/>
      <c r="C85" s="10"/>
      <c r="D85" s="21"/>
      <c r="E85" s="1" t="str">
        <f>+E32</f>
        <v>GridLiance West LLC (GLW)</v>
      </c>
      <c r="F85" s="21"/>
      <c r="G85" s="21"/>
      <c r="H85" s="21"/>
      <c r="I85" s="10"/>
      <c r="J85" s="96"/>
      <c r="K85" s="24"/>
      <c r="L85" s="24"/>
      <c r="M85" s="56" t="str">
        <f>+M32</f>
        <v>For The 12 Months Ended 12/31/2027</v>
      </c>
      <c r="N85" s="20"/>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row>
    <row r="86" spans="1:61">
      <c r="A86" s="32"/>
      <c r="E86" s="16"/>
      <c r="J86" s="51"/>
      <c r="K86" s="57"/>
      <c r="L86" s="57"/>
      <c r="M86" s="47"/>
      <c r="N86" s="20"/>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row>
    <row r="87" spans="1:61">
      <c r="A87" s="32"/>
      <c r="C87" s="58" t="s">
        <v>47</v>
      </c>
      <c r="D87" s="58" t="s">
        <v>48</v>
      </c>
      <c r="E87" s="58" t="s">
        <v>49</v>
      </c>
      <c r="F87" s="21" t="s">
        <v>55</v>
      </c>
      <c r="G87" s="21"/>
      <c r="H87" s="59" t="s">
        <v>64</v>
      </c>
      <c r="I87" s="21"/>
      <c r="J87" s="97" t="s">
        <v>65</v>
      </c>
      <c r="K87" s="57"/>
      <c r="L87" s="36"/>
      <c r="M87" s="36"/>
      <c r="N87" s="20"/>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row>
    <row r="88" spans="1:61">
      <c r="A88" s="32"/>
      <c r="C88" s="58"/>
      <c r="D88" s="10"/>
      <c r="E88" s="10"/>
      <c r="F88" s="10"/>
      <c r="G88" s="10"/>
      <c r="H88" s="10"/>
      <c r="I88" s="10"/>
      <c r="J88" s="96"/>
      <c r="K88" s="98"/>
      <c r="L88" s="99"/>
      <c r="M88" s="98"/>
      <c r="N88" s="20"/>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row>
    <row r="89" spans="1:61">
      <c r="A89" s="32"/>
      <c r="D89" s="61"/>
      <c r="E89" s="21"/>
      <c r="F89" s="21"/>
      <c r="G89" s="21"/>
      <c r="H89" s="32"/>
      <c r="I89" s="21"/>
      <c r="J89" s="100" t="s">
        <v>66</v>
      </c>
      <c r="K89" s="57"/>
      <c r="L89" s="26"/>
      <c r="M89" s="26"/>
      <c r="N89" s="20"/>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row>
    <row r="90" spans="1:61">
      <c r="A90" s="32"/>
      <c r="D90" s="63" t="s">
        <v>67</v>
      </c>
      <c r="E90" s="62" t="s">
        <v>68</v>
      </c>
      <c r="F90" s="64"/>
      <c r="G90" s="62" t="s">
        <v>69</v>
      </c>
      <c r="I90" s="64"/>
      <c r="J90" s="101" t="s">
        <v>70</v>
      </c>
      <c r="K90" s="57"/>
      <c r="L90" s="37"/>
      <c r="M90" s="37"/>
      <c r="N90" s="20"/>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row>
    <row r="91" spans="1:61">
      <c r="A91" s="32"/>
      <c r="D91" s="21"/>
      <c r="E91" s="102"/>
      <c r="F91" s="103"/>
      <c r="G91" s="63"/>
      <c r="I91" s="103"/>
      <c r="J91" s="51"/>
      <c r="N91" s="20"/>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row>
    <row r="92" spans="1:61">
      <c r="A92" s="32">
        <f>+A71+1</f>
        <v>31</v>
      </c>
      <c r="C92" s="9" t="s">
        <v>109</v>
      </c>
      <c r="D92" s="21"/>
      <c r="E92" s="21"/>
      <c r="I92" s="21"/>
      <c r="J92" s="51"/>
      <c r="N92" s="20"/>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row>
    <row r="93" spans="1:61">
      <c r="A93" s="32">
        <f t="shared" ref="A93:A100" si="3">+A92+1</f>
        <v>32</v>
      </c>
      <c r="C93" s="9" t="s">
        <v>73</v>
      </c>
      <c r="D93" s="21" t="s">
        <v>110</v>
      </c>
      <c r="E93" s="49">
        <f>'WP1 - O&amp;M detail'!H33+SUM(E94:E95)</f>
        <v>13064839.035395699</v>
      </c>
      <c r="F93" s="21"/>
      <c r="G93" s="21" t="s">
        <v>75</v>
      </c>
      <c r="H93" s="66">
        <f>+J$168</f>
        <v>1</v>
      </c>
      <c r="I93" s="21"/>
      <c r="J93" s="51">
        <f t="shared" ref="J93:J100" si="4">+H93*E93</f>
        <v>13064839.035395699</v>
      </c>
      <c r="K93" s="57"/>
      <c r="M93" s="57"/>
      <c r="N93" s="20"/>
      <c r="O93" s="104"/>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row>
    <row r="94" spans="1:61">
      <c r="A94" s="32">
        <f t="shared" si="3"/>
        <v>33</v>
      </c>
      <c r="C94" s="9" t="s">
        <v>111</v>
      </c>
      <c r="D94" s="21" t="s">
        <v>112</v>
      </c>
      <c r="E94" s="49">
        <f>+E95+E96</f>
        <v>2033513.28</v>
      </c>
      <c r="F94" s="21"/>
      <c r="G94" s="21" t="s">
        <v>75</v>
      </c>
      <c r="H94" s="66">
        <f>+J$168</f>
        <v>1</v>
      </c>
      <c r="I94" s="21"/>
      <c r="J94" s="51">
        <f t="shared" si="4"/>
        <v>2033513.28</v>
      </c>
      <c r="K94" s="57"/>
      <c r="L94" s="57"/>
      <c r="M94" s="57"/>
      <c r="N94" s="20"/>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row>
    <row r="95" spans="1:61">
      <c r="A95" s="32" t="s">
        <v>113</v>
      </c>
      <c r="C95" s="9" t="s">
        <v>114</v>
      </c>
      <c r="D95" s="21" t="s">
        <v>115</v>
      </c>
      <c r="E95" s="49">
        <v>0</v>
      </c>
      <c r="F95" s="21"/>
      <c r="G95" s="21" t="s">
        <v>61</v>
      </c>
      <c r="H95" s="81">
        <v>1</v>
      </c>
      <c r="I95" s="21"/>
      <c r="J95" s="45">
        <f t="shared" si="4"/>
        <v>0</v>
      </c>
      <c r="K95" s="57"/>
      <c r="L95" s="57"/>
      <c r="M95" s="57"/>
      <c r="N95" s="20"/>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row>
    <row r="96" spans="1:61">
      <c r="A96" s="32" t="s">
        <v>116</v>
      </c>
      <c r="C96" s="9" t="s">
        <v>117</v>
      </c>
      <c r="D96" s="21" t="s">
        <v>118</v>
      </c>
      <c r="E96" s="45">
        <f>+'9 - Reg. Assets and Abnd Plnt'!L57</f>
        <v>2033513.28</v>
      </c>
      <c r="F96" s="21"/>
      <c r="G96" s="21" t="s">
        <v>61</v>
      </c>
      <c r="H96" s="81">
        <v>1</v>
      </c>
      <c r="I96" s="21"/>
      <c r="J96" s="45">
        <f t="shared" si="4"/>
        <v>2033513.28</v>
      </c>
      <c r="K96" s="57"/>
      <c r="L96" s="57"/>
      <c r="M96" s="57"/>
      <c r="N96" s="20"/>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row>
    <row r="97" spans="1:61">
      <c r="A97" s="32">
        <f>+A94+1</f>
        <v>34</v>
      </c>
      <c r="C97" s="9" t="s">
        <v>119</v>
      </c>
      <c r="D97" s="21" t="s">
        <v>120</v>
      </c>
      <c r="E97" s="49">
        <f>'WP2 - A&amp;G detail'!H25-SUM(E98:E100)</f>
        <v>5404374.2072882</v>
      </c>
      <c r="F97" s="21"/>
      <c r="G97" s="21" t="s">
        <v>78</v>
      </c>
      <c r="H97" s="66">
        <f>+J$174</f>
        <v>1</v>
      </c>
      <c r="I97" s="21"/>
      <c r="J97" s="51">
        <f t="shared" si="4"/>
        <v>5404374.2072882</v>
      </c>
      <c r="K97" s="57"/>
      <c r="L97" s="57"/>
      <c r="M97" s="57"/>
      <c r="N97" s="20"/>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row>
    <row r="98" spans="1:61">
      <c r="A98" s="32">
        <f t="shared" si="3"/>
        <v>35</v>
      </c>
      <c r="C98" s="9" t="s">
        <v>121</v>
      </c>
      <c r="D98" s="9" t="s">
        <v>122</v>
      </c>
      <c r="E98" s="45">
        <f>+'2a - Cost Support'!G32+'2a - Cost Support'!G45+'2a - Cost Support'!I55</f>
        <v>0</v>
      </c>
      <c r="F98" s="21"/>
      <c r="G98" s="21" t="s">
        <v>78</v>
      </c>
      <c r="H98" s="66">
        <f>+J$174</f>
        <v>1</v>
      </c>
      <c r="I98" s="21"/>
      <c r="J98" s="51">
        <f t="shared" si="4"/>
        <v>0</v>
      </c>
      <c r="K98" s="57"/>
      <c r="L98" s="57"/>
      <c r="M98" s="57"/>
      <c r="N98" s="20"/>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row>
    <row r="99" spans="1:61">
      <c r="A99" s="32">
        <f t="shared" si="3"/>
        <v>36</v>
      </c>
      <c r="C99" s="9" t="s">
        <v>123</v>
      </c>
      <c r="D99" s="9" t="s">
        <v>124</v>
      </c>
      <c r="E99" s="45">
        <f>+'2a - Cost Support'!H45</f>
        <v>0</v>
      </c>
      <c r="F99" s="21"/>
      <c r="G99" s="21" t="s">
        <v>78</v>
      </c>
      <c r="H99" s="66">
        <f>+J$174</f>
        <v>1</v>
      </c>
      <c r="I99" s="21"/>
      <c r="J99" s="51">
        <f t="shared" si="4"/>
        <v>0</v>
      </c>
      <c r="K99" s="57"/>
      <c r="L99" s="57"/>
      <c r="M99" s="57"/>
      <c r="N99" s="20"/>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row>
    <row r="100" spans="1:61">
      <c r="A100" s="32">
        <f t="shared" si="3"/>
        <v>37</v>
      </c>
      <c r="C100" s="9" t="s">
        <v>125</v>
      </c>
      <c r="D100" s="21" t="s">
        <v>126</v>
      </c>
      <c r="E100" s="45">
        <f>+'2a - Cost Support'!E100</f>
        <v>0</v>
      </c>
      <c r="F100" s="21"/>
      <c r="G100" s="21" t="s">
        <v>78</v>
      </c>
      <c r="H100" s="66">
        <f>+J$174</f>
        <v>1</v>
      </c>
      <c r="I100" s="21"/>
      <c r="J100" s="51">
        <f t="shared" si="4"/>
        <v>0</v>
      </c>
      <c r="K100" s="57"/>
      <c r="L100" s="57"/>
      <c r="M100" s="57"/>
      <c r="N100" s="20"/>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row>
    <row r="101" spans="1:61">
      <c r="A101" s="32">
        <f>+A100+1</f>
        <v>38</v>
      </c>
      <c r="C101" s="9" t="str">
        <f>"TOTAL O&amp;M and A&amp;G  (sum lines "&amp;A93&amp;", "&amp;A95&amp;", "&amp;A96&amp;", "&amp;A97&amp;", "&amp;A99&amp;", "&amp;A100&amp;" less lines "&amp;A94&amp;" &amp; "&amp;A98&amp;")"</f>
        <v>TOTAL O&amp;M and A&amp;G  (sum lines 32, 33a, 33b, 34, 36, 37 less lines 33 &amp; 35)</v>
      </c>
      <c r="D101" s="21"/>
      <c r="E101" s="51">
        <f>+E93+E97+E99+E100-E94-E98+E95+E96</f>
        <v>18469213.242683899</v>
      </c>
      <c r="F101" s="21"/>
      <c r="G101" s="21"/>
      <c r="H101" s="21"/>
      <c r="I101" s="21"/>
      <c r="J101" s="51">
        <f>+J93+J97+J99+J100-J94-J98+J95+J96</f>
        <v>18469213.242683899</v>
      </c>
      <c r="K101" s="57"/>
      <c r="L101" s="57"/>
      <c r="M101" s="57"/>
      <c r="N101" s="20"/>
      <c r="O101" s="10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row>
    <row r="102" spans="1:61">
      <c r="A102" s="32"/>
      <c r="D102" s="21"/>
      <c r="E102" s="51"/>
      <c r="F102" s="21"/>
      <c r="G102" s="21"/>
      <c r="H102" s="21"/>
      <c r="I102" s="21"/>
      <c r="J102" s="51"/>
      <c r="K102" s="57"/>
      <c r="L102" s="57"/>
      <c r="M102" s="57"/>
      <c r="N102" s="20"/>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row>
    <row r="103" spans="1:61">
      <c r="A103" s="32">
        <f>+A101+1</f>
        <v>39</v>
      </c>
      <c r="C103" s="9" t="s">
        <v>127</v>
      </c>
      <c r="D103" s="21"/>
      <c r="E103" s="51"/>
      <c r="F103" s="21"/>
      <c r="G103" s="21"/>
      <c r="H103" s="21"/>
      <c r="I103" s="21"/>
      <c r="J103" s="51"/>
      <c r="K103" s="57"/>
      <c r="L103" s="57"/>
      <c r="M103" s="57"/>
      <c r="N103" s="20"/>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row>
    <row r="104" spans="1:61">
      <c r="A104" s="32">
        <f>+A103+1</f>
        <v>40</v>
      </c>
      <c r="C104" s="9" t="str">
        <f>+C93</f>
        <v xml:space="preserve">  Transmission </v>
      </c>
      <c r="D104" s="21" t="s">
        <v>128</v>
      </c>
      <c r="E104" s="49">
        <v>6002459.0999999996</v>
      </c>
      <c r="F104" s="21"/>
      <c r="G104" s="21" t="s">
        <v>75</v>
      </c>
      <c r="H104" s="66">
        <f>+J$168</f>
        <v>1</v>
      </c>
      <c r="I104" s="21"/>
      <c r="J104" s="51">
        <f>+H104*E104</f>
        <v>6002459.0999999996</v>
      </c>
      <c r="K104" s="57"/>
      <c r="L104" s="106"/>
      <c r="M104" s="107"/>
      <c r="N104" s="20"/>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row>
    <row r="105" spans="1:61">
      <c r="A105" s="32">
        <f>+A104+1</f>
        <v>41</v>
      </c>
      <c r="C105" s="9" t="s">
        <v>129</v>
      </c>
      <c r="D105" s="21" t="s">
        <v>130</v>
      </c>
      <c r="E105" s="49">
        <v>46473.62999999999</v>
      </c>
      <c r="F105" s="21"/>
      <c r="G105" s="21" t="s">
        <v>78</v>
      </c>
      <c r="H105" s="66">
        <f>+J$174</f>
        <v>1</v>
      </c>
      <c r="I105" s="21"/>
      <c r="J105" s="51">
        <f>+H105*E105</f>
        <v>46473.62999999999</v>
      </c>
      <c r="K105" s="57"/>
      <c r="L105" s="108"/>
      <c r="M105" s="109"/>
      <c r="N105" s="20"/>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row>
    <row r="106" spans="1:61">
      <c r="A106" s="32">
        <f>+A105+1</f>
        <v>42</v>
      </c>
      <c r="C106" s="68" t="s">
        <v>131</v>
      </c>
      <c r="D106" s="69" t="s">
        <v>132</v>
      </c>
      <c r="E106" s="70">
        <f>+'9 - Reg. Assets and Abnd Plnt'!L80</f>
        <v>0</v>
      </c>
      <c r="F106" s="69"/>
      <c r="G106" s="69" t="s">
        <v>61</v>
      </c>
      <c r="H106" s="71">
        <v>1</v>
      </c>
      <c r="I106" s="69"/>
      <c r="J106" s="72">
        <f>+H106*E106</f>
        <v>0</v>
      </c>
      <c r="K106" s="57"/>
      <c r="L106" s="108"/>
      <c r="M106" s="110"/>
      <c r="N106" s="20"/>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row>
    <row r="107" spans="1:61">
      <c r="A107" s="32">
        <f>+A106+1</f>
        <v>43</v>
      </c>
      <c r="C107" s="83" t="str">
        <f>"TOTAL DEPRECIATION (Sum lines "&amp;A104&amp;"-"&amp;A106&amp;")"</f>
        <v>TOTAL DEPRECIATION (Sum lines 40-42)</v>
      </c>
      <c r="D107" s="21"/>
      <c r="E107" s="45">
        <f>SUM(E104:E106)</f>
        <v>6048932.7299999995</v>
      </c>
      <c r="F107" s="21"/>
      <c r="G107" s="21"/>
      <c r="H107" s="66"/>
      <c r="I107" s="21"/>
      <c r="J107" s="51">
        <f>SUM(J104:J106)</f>
        <v>6048932.7299999995</v>
      </c>
      <c r="K107" s="57"/>
      <c r="L107" s="108"/>
      <c r="M107" s="109"/>
      <c r="N107" s="20"/>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row>
    <row r="108" spans="1:61">
      <c r="A108" s="32"/>
      <c r="D108" s="21"/>
      <c r="E108" s="45"/>
      <c r="F108" s="21"/>
      <c r="G108" s="21"/>
      <c r="H108" s="66"/>
      <c r="I108" s="21"/>
      <c r="J108" s="51"/>
      <c r="K108" s="57"/>
      <c r="L108" s="108"/>
      <c r="M108" s="109"/>
      <c r="N108" s="20"/>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row>
    <row r="109" spans="1:61" ht="23.25">
      <c r="A109" s="32">
        <f>+A107+1</f>
        <v>44</v>
      </c>
      <c r="C109" s="9" t="str">
        <f>"TAXES OTHER THAN INCOME TAXES  (Note "&amp;A216&amp;")"</f>
        <v>TAXES OTHER THAN INCOME TAXES  (Note E)</v>
      </c>
      <c r="E109" s="45"/>
      <c r="F109" s="21"/>
      <c r="G109" s="21"/>
      <c r="H109" s="66"/>
      <c r="I109" s="21"/>
      <c r="J109" s="51"/>
      <c r="K109" s="57"/>
      <c r="L109" s="108"/>
      <c r="M109" s="108"/>
      <c r="N109" s="111"/>
      <c r="O109" s="112"/>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row>
    <row r="110" spans="1:61" ht="22.5">
      <c r="A110" s="32">
        <f t="shared" ref="A110:A116" si="5">+A109+1</f>
        <v>45</v>
      </c>
      <c r="C110" s="9" t="s">
        <v>133</v>
      </c>
      <c r="E110" s="45"/>
      <c r="F110" s="21"/>
      <c r="G110" s="21"/>
      <c r="H110" s="66"/>
      <c r="I110" s="21"/>
      <c r="J110" s="51"/>
      <c r="K110" s="57"/>
      <c r="L110" s="113"/>
      <c r="M110" s="109"/>
      <c r="N110" s="114"/>
      <c r="O110" s="1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row>
    <row r="111" spans="1:61" ht="22.5">
      <c r="A111" s="32">
        <f t="shared" si="5"/>
        <v>46</v>
      </c>
      <c r="C111" s="9" t="s">
        <v>134</v>
      </c>
      <c r="D111" s="116" t="s">
        <v>135</v>
      </c>
      <c r="E111" s="49">
        <v>0</v>
      </c>
      <c r="F111" s="21"/>
      <c r="G111" s="21" t="s">
        <v>78</v>
      </c>
      <c r="H111" s="66">
        <f>+J$174</f>
        <v>1</v>
      </c>
      <c r="I111" s="21"/>
      <c r="J111" s="51">
        <f>+H111*E111</f>
        <v>0</v>
      </c>
      <c r="K111" s="57"/>
      <c r="L111" s="113"/>
      <c r="M111" s="117"/>
      <c r="N111" s="114"/>
      <c r="O111" s="118"/>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row>
    <row r="112" spans="1:61" ht="22.5">
      <c r="A112" s="32">
        <f t="shared" si="5"/>
        <v>47</v>
      </c>
      <c r="C112" s="9" t="s">
        <v>136</v>
      </c>
      <c r="D112" s="116" t="s">
        <v>135</v>
      </c>
      <c r="E112" s="49">
        <v>0</v>
      </c>
      <c r="F112" s="21"/>
      <c r="G112" s="21" t="str">
        <f>+G111</f>
        <v>W/S</v>
      </c>
      <c r="H112" s="66">
        <f>+J$174</f>
        <v>1</v>
      </c>
      <c r="I112" s="21"/>
      <c r="J112" s="51">
        <f>+H112*E112</f>
        <v>0</v>
      </c>
      <c r="K112" s="57"/>
      <c r="L112" s="113"/>
      <c r="M112" s="109"/>
      <c r="N112" s="114"/>
      <c r="O112" s="1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row>
    <row r="113" spans="1:61" ht="22.5">
      <c r="A113" s="32">
        <f t="shared" si="5"/>
        <v>48</v>
      </c>
      <c r="C113" s="9" t="s">
        <v>137</v>
      </c>
      <c r="D113" s="119" t="s">
        <v>55</v>
      </c>
      <c r="E113" s="45"/>
      <c r="F113" s="21"/>
      <c r="G113" s="21"/>
      <c r="H113" s="66"/>
      <c r="I113" s="21"/>
      <c r="J113" s="51"/>
      <c r="K113" s="57"/>
      <c r="L113" s="113"/>
      <c r="M113" s="110"/>
      <c r="N113" s="114"/>
      <c r="O113" s="1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row>
    <row r="114" spans="1:61" ht="22.5">
      <c r="A114" s="32">
        <f t="shared" si="5"/>
        <v>49</v>
      </c>
      <c r="C114" s="9" t="s">
        <v>138</v>
      </c>
      <c r="D114" s="116" t="s">
        <v>135</v>
      </c>
      <c r="E114" s="49">
        <v>2738085.4803264001</v>
      </c>
      <c r="F114" s="21"/>
      <c r="G114" s="21" t="s">
        <v>107</v>
      </c>
      <c r="H114" s="77">
        <f>+H$42</f>
        <v>1</v>
      </c>
      <c r="I114" s="21"/>
      <c r="J114" s="51">
        <f>+H114*E114</f>
        <v>2738085.4803264001</v>
      </c>
      <c r="K114" s="57"/>
      <c r="L114" s="113"/>
      <c r="M114" s="120"/>
      <c r="N114" s="114"/>
      <c r="O114" s="114"/>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row>
    <row r="115" spans="1:61" ht="22.5">
      <c r="A115" s="32">
        <f t="shared" si="5"/>
        <v>50</v>
      </c>
      <c r="C115" s="9" t="s">
        <v>139</v>
      </c>
      <c r="D115" s="116" t="s">
        <v>135</v>
      </c>
      <c r="E115" s="49">
        <v>0</v>
      </c>
      <c r="F115" s="21"/>
      <c r="G115" s="21" t="s">
        <v>107</v>
      </c>
      <c r="H115" s="77">
        <f>+H$42</f>
        <v>1</v>
      </c>
      <c r="I115" s="21"/>
      <c r="J115" s="51">
        <f>+E115</f>
        <v>0</v>
      </c>
      <c r="K115" s="57"/>
      <c r="L115" s="113"/>
      <c r="M115" s="121"/>
      <c r="N115" s="122"/>
      <c r="O115" s="1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row>
    <row r="116" spans="1:61" ht="22.5">
      <c r="A116" s="32">
        <f t="shared" si="5"/>
        <v>51</v>
      </c>
      <c r="C116" s="68" t="s">
        <v>140</v>
      </c>
      <c r="D116" s="123" t="s">
        <v>135</v>
      </c>
      <c r="E116" s="124">
        <v>0</v>
      </c>
      <c r="F116" s="69"/>
      <c r="G116" s="69" t="str">
        <f>+G114</f>
        <v>GP</v>
      </c>
      <c r="H116" s="85">
        <f>+H$42</f>
        <v>1</v>
      </c>
      <c r="I116" s="69"/>
      <c r="J116" s="72">
        <f>+H116*E116</f>
        <v>0</v>
      </c>
      <c r="K116" s="57"/>
      <c r="L116" s="113"/>
      <c r="M116" s="125"/>
      <c r="N116" s="122"/>
      <c r="O116" s="126"/>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row>
    <row r="117" spans="1:61" ht="22.5">
      <c r="A117" s="32">
        <f>+A116+1</f>
        <v>52</v>
      </c>
      <c r="C117" s="9" t="str">
        <f>"TOTAL OTHER TAXES  (sum lines "&amp;A111&amp;", "&amp;A112&amp;", "&amp;A114&amp;", "&amp;A115&amp;", "&amp;A116&amp;")"</f>
        <v>TOTAL OTHER TAXES  (sum lines 46, 47, 49, 50, 51)</v>
      </c>
      <c r="D117" s="21"/>
      <c r="E117" s="45">
        <f>SUM(E111:E116)</f>
        <v>2738085.4803264001</v>
      </c>
      <c r="F117" s="21"/>
      <c r="G117" s="21"/>
      <c r="H117" s="66"/>
      <c r="I117" s="21"/>
      <c r="J117" s="51">
        <f>SUM(J111:J116)</f>
        <v>2738085.4803264001</v>
      </c>
      <c r="K117" s="57"/>
      <c r="L117" s="113"/>
      <c r="M117" s="109"/>
      <c r="N117" s="122"/>
      <c r="O117" s="1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row>
    <row r="118" spans="1:61" ht="22.5">
      <c r="A118" s="32"/>
      <c r="D118" s="21"/>
      <c r="E118" s="21"/>
      <c r="F118" s="21"/>
      <c r="G118" s="21"/>
      <c r="H118" s="66"/>
      <c r="I118" s="21"/>
      <c r="J118" s="51"/>
      <c r="K118" s="57"/>
      <c r="L118" s="113"/>
      <c r="M118" s="109"/>
      <c r="N118" s="122"/>
      <c r="O118" s="118"/>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row>
    <row r="119" spans="1:61" ht="22.5">
      <c r="A119" s="32">
        <f>+A117+1</f>
        <v>53</v>
      </c>
      <c r="C119" s="9" t="s">
        <v>141</v>
      </c>
      <c r="D119" s="21" t="str">
        <f>" (Note "&amp;A217&amp;")"</f>
        <v xml:space="preserve"> (Note F)</v>
      </c>
      <c r="E119" s="21"/>
      <c r="F119" s="21"/>
      <c r="H119" s="74"/>
      <c r="I119" s="21"/>
      <c r="J119" s="51"/>
      <c r="K119" s="57"/>
      <c r="L119" s="113"/>
      <c r="M119" s="120"/>
      <c r="N119" s="122"/>
      <c r="O119" s="127"/>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row>
    <row r="120" spans="1:61" ht="22.5">
      <c r="A120" s="32">
        <f t="shared" ref="A120:A125" si="6">+A119+1</f>
        <v>54</v>
      </c>
      <c r="C120" s="128" t="s">
        <v>142</v>
      </c>
      <c r="D120" s="21"/>
      <c r="E120" s="129">
        <f>IF(E218&gt;0,1-(((1-E219)*(1-E218))/(1-E219*E218*E220)),0)</f>
        <v>0.20999999999999996</v>
      </c>
      <c r="F120" s="21"/>
      <c r="H120" s="130"/>
      <c r="I120" s="21"/>
      <c r="J120" s="51"/>
      <c r="K120" s="57"/>
      <c r="L120" s="113"/>
      <c r="M120" s="109"/>
      <c r="N120" s="122"/>
      <c r="O120" s="131"/>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row>
    <row r="121" spans="1:61" ht="22.5">
      <c r="A121" s="32">
        <f t="shared" si="6"/>
        <v>55</v>
      </c>
      <c r="C121" s="9" t="s">
        <v>143</v>
      </c>
      <c r="D121" s="21"/>
      <c r="E121" s="129">
        <f>IF(J182&gt;0,(E120/(1-E120))*(1-J179/J182),0)</f>
        <v>0.19778110802438048</v>
      </c>
      <c r="F121" s="21"/>
      <c r="H121" s="130"/>
      <c r="I121" s="21"/>
      <c r="J121" s="51"/>
      <c r="K121" s="57"/>
      <c r="L121" s="113"/>
      <c r="M121" s="109"/>
      <c r="N121" s="122"/>
      <c r="O121" s="131"/>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row>
    <row r="122" spans="1:61" ht="22.5">
      <c r="A122" s="32">
        <f t="shared" si="6"/>
        <v>56</v>
      </c>
      <c r="C122" s="9" t="str">
        <f>"       where WCLTD=(line "&amp;A179&amp;") and R= (line "&amp;A182&amp;")"</f>
        <v xml:space="preserve">       where WCLTD=(line 83) and R= (line 86)</v>
      </c>
      <c r="D122" s="21"/>
      <c r="E122" s="21"/>
      <c r="F122" s="21"/>
      <c r="H122" s="130"/>
      <c r="I122" s="21"/>
      <c r="J122" s="51"/>
      <c r="K122" s="57"/>
      <c r="L122" s="108"/>
      <c r="M122" s="109"/>
      <c r="N122" s="122"/>
      <c r="O122" s="1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row>
    <row r="123" spans="1:61" ht="22.5">
      <c r="A123" s="32">
        <f t="shared" si="6"/>
        <v>57</v>
      </c>
      <c r="C123" s="9" t="str">
        <f>"       and FIT, SIT &amp; p are as given in footnote "&amp;A217&amp;"."</f>
        <v xml:space="preserve">       and FIT, SIT &amp; p are as given in footnote F.</v>
      </c>
      <c r="D123" s="21"/>
      <c r="E123" s="21"/>
      <c r="F123" s="21"/>
      <c r="H123" s="130"/>
      <c r="I123" s="21"/>
      <c r="J123" s="51"/>
      <c r="K123" s="57"/>
      <c r="L123" s="108"/>
      <c r="M123" s="132"/>
      <c r="N123" s="122"/>
      <c r="O123" s="1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row>
    <row r="124" spans="1:61" ht="22.5">
      <c r="A124" s="32">
        <f t="shared" si="6"/>
        <v>58</v>
      </c>
      <c r="C124" s="128" t="str">
        <f>"      1 / (1 - T)  = (T from line "&amp;A120&amp;")"</f>
        <v xml:space="preserve">      1 / (1 - T)  = (T from line 54)</v>
      </c>
      <c r="D124" s="21"/>
      <c r="E124" s="129">
        <f>IF(E120&gt;0,1/(1-E120),0)</f>
        <v>1.2658227848101264</v>
      </c>
      <c r="F124" s="21"/>
      <c r="G124" s="133"/>
      <c r="H124" s="130"/>
      <c r="I124" s="21"/>
      <c r="J124" s="51"/>
      <c r="K124" s="57"/>
      <c r="L124" s="108"/>
      <c r="M124" s="109"/>
      <c r="N124" s="122"/>
      <c r="O124" s="127"/>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row>
    <row r="125" spans="1:61" ht="22.5">
      <c r="A125" s="32">
        <f t="shared" si="6"/>
        <v>59</v>
      </c>
      <c r="C125" s="9" t="s">
        <v>144</v>
      </c>
      <c r="D125" s="21" t="s">
        <v>145</v>
      </c>
      <c r="E125" s="45">
        <f>+'2a - Cost Support'!H8</f>
        <v>0</v>
      </c>
      <c r="F125" s="21"/>
      <c r="H125" s="130"/>
      <c r="I125" s="21"/>
      <c r="J125" s="51"/>
      <c r="K125" s="57"/>
      <c r="L125" s="134"/>
      <c r="M125" s="135"/>
      <c r="N125" s="122"/>
      <c r="O125" s="1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row>
    <row r="126" spans="1:61" ht="22.5">
      <c r="A126" s="32" t="s">
        <v>146</v>
      </c>
      <c r="C126" s="9" t="s">
        <v>147</v>
      </c>
      <c r="D126" s="21" t="s">
        <v>148</v>
      </c>
      <c r="E126" s="45">
        <f>'12 - Income Tax Adjustment'!$D$15+'12 - Income Tax Adjustment'!$D$16</f>
        <v>0</v>
      </c>
      <c r="F126" s="21"/>
      <c r="H126" s="130"/>
      <c r="I126" s="21"/>
      <c r="J126" s="51"/>
      <c r="K126" s="57"/>
      <c r="L126" s="134"/>
      <c r="M126" s="135"/>
      <c r="N126" s="122"/>
      <c r="O126" s="1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row>
    <row r="127" spans="1:61" ht="22.5">
      <c r="A127" s="32" t="s">
        <v>149</v>
      </c>
      <c r="C127" s="9" t="s">
        <v>150</v>
      </c>
      <c r="D127" s="21" t="s">
        <v>151</v>
      </c>
      <c r="E127" s="45">
        <f>'12 - Income Tax Adjustment'!$D$10</f>
        <v>444672</v>
      </c>
      <c r="F127" s="21"/>
      <c r="H127" s="130"/>
      <c r="I127" s="21" t="s">
        <v>55</v>
      </c>
      <c r="J127" s="51"/>
      <c r="K127" s="57"/>
      <c r="L127" s="134"/>
      <c r="M127" s="135"/>
      <c r="N127" s="114"/>
      <c r="O127" s="1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row>
    <row r="128" spans="1:61" ht="22.5">
      <c r="A128" s="32">
        <f>+A125+1</f>
        <v>60</v>
      </c>
      <c r="C128" s="128" t="str">
        <f>"Income Tax Calculation = line 55 * line 64"</f>
        <v>Income Tax Calculation = line 55 * line 64</v>
      </c>
      <c r="D128" s="136"/>
      <c r="E128" s="45">
        <f>E121*E135</f>
        <v>21852925.638032876</v>
      </c>
      <c r="F128" s="78"/>
      <c r="G128" s="21" t="s">
        <v>104</v>
      </c>
      <c r="H128" s="137"/>
      <c r="I128" s="21"/>
      <c r="J128" s="51">
        <f>E128</f>
        <v>21852925.638032876</v>
      </c>
      <c r="K128" s="57"/>
      <c r="L128" s="108"/>
      <c r="M128" s="138"/>
      <c r="N128" s="114"/>
      <c r="O128" s="139"/>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row>
    <row r="129" spans="1:61" ht="22.5">
      <c r="A129" s="32">
        <f>+A128+1</f>
        <v>61</v>
      </c>
      <c r="C129" s="9" t="str">
        <f>"ITC adjustment (line "&amp;A124&amp;" * line "&amp;A125&amp;")"</f>
        <v>ITC adjustment (line 58 * line 59)</v>
      </c>
      <c r="D129" s="136"/>
      <c r="E129" s="80">
        <f>+E124*E125</f>
        <v>0</v>
      </c>
      <c r="F129" s="79"/>
      <c r="G129" s="9" t="s">
        <v>92</v>
      </c>
      <c r="H129" s="81">
        <f>+H$52</f>
        <v>1</v>
      </c>
      <c r="I129" s="21"/>
      <c r="J129" s="82">
        <f>+H129*E129</f>
        <v>0</v>
      </c>
      <c r="K129" s="57"/>
      <c r="L129" s="140"/>
      <c r="M129" s="109"/>
      <c r="N129" s="114"/>
      <c r="O129" s="1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row>
    <row r="130" spans="1:61" ht="22.5">
      <c r="A130" s="32" t="s">
        <v>152</v>
      </c>
      <c r="C130" s="9" t="s">
        <v>153</v>
      </c>
      <c r="D130" s="136" t="s">
        <v>154</v>
      </c>
      <c r="E130" s="80">
        <f>$E$124*E126</f>
        <v>0</v>
      </c>
      <c r="F130" s="21"/>
      <c r="G130" s="9" t="s">
        <v>92</v>
      </c>
      <c r="H130" s="81">
        <f t="shared" ref="H130:H131" si="7">+H$52</f>
        <v>1</v>
      </c>
      <c r="I130" s="21"/>
      <c r="J130" s="82">
        <f t="shared" ref="J130:J131" si="8">+H130*E130</f>
        <v>0</v>
      </c>
      <c r="K130" s="57"/>
      <c r="L130" s="57"/>
      <c r="M130" s="57"/>
      <c r="N130" s="141"/>
      <c r="O130" s="142"/>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row>
    <row r="131" spans="1:61" ht="22.5">
      <c r="A131" s="32" t="s">
        <v>155</v>
      </c>
      <c r="C131" s="68" t="s">
        <v>156</v>
      </c>
      <c r="D131" s="143" t="s">
        <v>157</v>
      </c>
      <c r="E131" s="70">
        <f>+E120/(1-E120)*E127</f>
        <v>118203.94936708857</v>
      </c>
      <c r="F131" s="144"/>
      <c r="G131" s="68" t="s">
        <v>92</v>
      </c>
      <c r="H131" s="85">
        <f t="shared" si="7"/>
        <v>1</v>
      </c>
      <c r="I131" s="69"/>
      <c r="J131" s="72">
        <f t="shared" si="8"/>
        <v>118203.94936708857</v>
      </c>
      <c r="K131" s="57"/>
      <c r="L131" s="104"/>
      <c r="M131" s="57"/>
      <c r="N131" s="141"/>
      <c r="O131" s="142"/>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row>
    <row r="132" spans="1:61" ht="22.5">
      <c r="A132" s="32">
        <f>+A129+1</f>
        <v>62</v>
      </c>
      <c r="C132" s="145" t="s">
        <v>158</v>
      </c>
      <c r="D132" s="9" t="s">
        <v>159</v>
      </c>
      <c r="E132" s="146">
        <f>SUM(E128:E131)</f>
        <v>21971129.587399963</v>
      </c>
      <c r="F132" s="79"/>
      <c r="G132" s="21" t="s">
        <v>55</v>
      </c>
      <c r="H132" s="137" t="s">
        <v>55</v>
      </c>
      <c r="I132" s="21"/>
      <c r="J132" s="146">
        <f>SUM(J128:J131)</f>
        <v>21971129.587399963</v>
      </c>
      <c r="K132" s="57"/>
      <c r="L132" s="147"/>
      <c r="M132" s="57"/>
      <c r="N132" s="148"/>
      <c r="O132" s="142"/>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row>
    <row r="133" spans="1:61" ht="22.5">
      <c r="A133" s="32"/>
      <c r="D133" s="149"/>
      <c r="E133" s="45"/>
      <c r="F133" s="21"/>
      <c r="G133" s="21"/>
      <c r="H133" s="137"/>
      <c r="I133" s="21"/>
      <c r="J133" s="51"/>
      <c r="K133" s="57"/>
      <c r="L133" s="147"/>
      <c r="M133" s="57"/>
      <c r="N133" s="122"/>
      <c r="O133" s="150"/>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row>
    <row r="134" spans="1:61" ht="22.5">
      <c r="A134" s="32">
        <f>+A132+1</f>
        <v>63</v>
      </c>
      <c r="C134" s="9" t="s">
        <v>160</v>
      </c>
      <c r="D134" s="89"/>
      <c r="E134" s="51"/>
      <c r="H134" s="130"/>
      <c r="I134" s="21"/>
      <c r="K134" s="57"/>
      <c r="L134" s="147"/>
      <c r="M134" s="57"/>
      <c r="N134" s="151"/>
      <c r="O134" s="1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row>
    <row r="135" spans="1:61">
      <c r="A135" s="32">
        <f>+A134+1</f>
        <v>64</v>
      </c>
      <c r="C135" s="145" t="str">
        <f>"  [ Rate Base (line "&amp;A71&amp;") * Rate of Return (line "&amp;A182&amp;")]"</f>
        <v xml:space="preserve">  [ Rate Base (line 30) * Rate of Return (line 86)]</v>
      </c>
      <c r="E135" s="45">
        <f>+J182*E71</f>
        <v>110490460.16740419</v>
      </c>
      <c r="F135" s="21"/>
      <c r="G135" s="21" t="s">
        <v>104</v>
      </c>
      <c r="H135" s="130"/>
      <c r="I135" s="21"/>
      <c r="J135" s="51">
        <f>+J71*J182</f>
        <v>110490460.16740419</v>
      </c>
      <c r="K135" s="57"/>
      <c r="L135" s="147"/>
      <c r="M135" s="57"/>
      <c r="N135" s="152"/>
      <c r="O135" s="153"/>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row>
    <row r="136" spans="1:61">
      <c r="A136" s="32"/>
      <c r="E136" s="82"/>
      <c r="F136" s="21"/>
      <c r="G136" s="21"/>
      <c r="H136" s="130"/>
      <c r="I136" s="21"/>
      <c r="J136" s="82"/>
      <c r="K136" s="57"/>
      <c r="L136" s="147"/>
      <c r="M136" s="57"/>
      <c r="N136" s="20"/>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row>
    <row r="137" spans="1:61">
      <c r="A137" s="32">
        <f>+A135+1</f>
        <v>65</v>
      </c>
      <c r="C137" s="9" t="str">
        <f>"Rev Requirement before Incenitive Projects  (sum lines "&amp;A101&amp;", "&amp;A107&amp;", "&amp;A117&amp;", "&amp;A132&amp;", "&amp;A135&amp;")"</f>
        <v>Rev Requirement before Incenitive Projects  (sum lines 38, 43, 52, 62, 64)</v>
      </c>
      <c r="E137" s="82">
        <f>+E101+E107+E117+E132+E135</f>
        <v>159717821.20781446</v>
      </c>
      <c r="F137" s="21"/>
      <c r="G137" s="21"/>
      <c r="H137" s="130"/>
      <c r="I137" s="21"/>
      <c r="J137" s="82">
        <f>+J101+J107+J117+J132+J135</f>
        <v>159717821.20781446</v>
      </c>
      <c r="K137" s="57"/>
      <c r="L137" s="147"/>
      <c r="M137" s="57"/>
      <c r="N137" s="20"/>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row>
    <row r="138" spans="1:61">
      <c r="A138" s="32"/>
      <c r="E138" s="82"/>
      <c r="F138" s="21"/>
      <c r="G138" s="21"/>
      <c r="H138" s="130"/>
      <c r="I138" s="21"/>
      <c r="J138" s="82"/>
      <c r="K138" s="57"/>
      <c r="L138" s="147"/>
      <c r="M138" s="57"/>
      <c r="N138" s="20"/>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row>
    <row r="139" spans="1:61">
      <c r="A139" s="32">
        <f>+A137+1</f>
        <v>66</v>
      </c>
      <c r="C139" s="9" t="s">
        <v>161</v>
      </c>
      <c r="D139" s="154" t="s">
        <v>162</v>
      </c>
      <c r="E139" s="80">
        <f>+'4 - Cap Adds'!K30</f>
        <v>0</v>
      </c>
      <c r="F139" s="21"/>
      <c r="G139" s="21" t="s">
        <v>61</v>
      </c>
      <c r="H139" s="74">
        <v>1</v>
      </c>
      <c r="I139" s="21"/>
      <c r="J139" s="82">
        <f>+H139*E139</f>
        <v>0</v>
      </c>
      <c r="L139" s="57"/>
      <c r="M139" s="57"/>
      <c r="N139" s="20"/>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row>
    <row r="140" spans="1:61">
      <c r="A140" s="32"/>
      <c r="D140" s="154"/>
      <c r="E140" s="82"/>
      <c r="F140" s="21"/>
      <c r="G140" s="21"/>
      <c r="H140" s="130"/>
      <c r="I140" s="21"/>
      <c r="J140" s="82"/>
      <c r="K140" s="57"/>
      <c r="L140" s="57"/>
      <c r="M140" s="57"/>
      <c r="N140" s="20"/>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row>
    <row r="141" spans="1:61" ht="16.5" thickBot="1">
      <c r="A141" s="32">
        <f>+A139+1</f>
        <v>67</v>
      </c>
      <c r="C141" s="9" t="str">
        <f>"Total Revenue Requirement  (sum lines "&amp;A137&amp;" &amp; "&amp;A139&amp;")"</f>
        <v>Total Revenue Requirement  (sum lines 65 &amp; 66)</v>
      </c>
      <c r="D141" s="21"/>
      <c r="E141" s="88">
        <f>+E137+E139</f>
        <v>159717821.20781446</v>
      </c>
      <c r="F141" s="155"/>
      <c r="G141" s="21"/>
      <c r="H141" s="21"/>
      <c r="I141" s="21"/>
      <c r="J141" s="88">
        <f>+J137+J139</f>
        <v>159717821.20781446</v>
      </c>
      <c r="K141" s="57"/>
      <c r="L141" s="156"/>
      <c r="M141" s="57"/>
      <c r="N141" s="20"/>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row>
    <row r="142" spans="1:61" ht="16.5" thickTop="1">
      <c r="A142" s="32"/>
      <c r="E142" s="157"/>
      <c r="I142" s="158"/>
      <c r="J142" s="159"/>
      <c r="K142" s="160"/>
      <c r="N142" s="158"/>
      <c r="O142" s="159"/>
      <c r="P142" s="160"/>
      <c r="Q142" s="161"/>
    </row>
    <row r="143" spans="1:61">
      <c r="A143" s="32"/>
      <c r="E143" s="133"/>
      <c r="F143" s="162"/>
      <c r="I143" s="158"/>
      <c r="J143" s="163"/>
      <c r="K143" s="160"/>
      <c r="N143" s="158"/>
      <c r="O143" s="163"/>
      <c r="P143" s="160"/>
      <c r="Q143" s="161"/>
    </row>
    <row r="144" spans="1:61">
      <c r="A144" s="164"/>
      <c r="C144" s="165"/>
      <c r="E144" s="8"/>
      <c r="F144" s="164"/>
      <c r="H144" s="166"/>
      <c r="I144" s="158"/>
      <c r="J144" s="159"/>
      <c r="K144" s="160"/>
      <c r="N144" s="158"/>
      <c r="O144" s="159"/>
      <c r="P144" s="160"/>
      <c r="Q144" s="161"/>
    </row>
    <row r="145" spans="1:61">
      <c r="A145" s="164"/>
      <c r="C145" s="167"/>
      <c r="E145" s="168"/>
      <c r="F145" s="169"/>
      <c r="H145" s="2"/>
      <c r="I145" s="158"/>
      <c r="J145" s="170"/>
      <c r="K145" s="160"/>
      <c r="N145" s="158"/>
      <c r="O145" s="170"/>
      <c r="P145" s="160"/>
      <c r="Q145" s="161"/>
    </row>
    <row r="146" spans="1:61">
      <c r="A146" s="164">
        <f>+A141+1</f>
        <v>68</v>
      </c>
      <c r="C146" s="167" t="s">
        <v>163</v>
      </c>
      <c r="E146" s="171"/>
      <c r="F146" s="77"/>
      <c r="H146" s="2"/>
      <c r="I146" s="158"/>
      <c r="J146" s="159"/>
      <c r="K146" s="160"/>
      <c r="N146" s="158"/>
      <c r="O146" s="159"/>
      <c r="P146" s="160"/>
      <c r="Q146" s="161"/>
    </row>
    <row r="147" spans="1:61">
      <c r="A147" s="164">
        <f>+A146+1</f>
        <v>69</v>
      </c>
      <c r="C147" s="167" t="s">
        <v>163</v>
      </c>
      <c r="E147" s="172"/>
      <c r="F147" s="45"/>
      <c r="H147" s="45"/>
      <c r="I147" s="158"/>
      <c r="J147" s="173"/>
      <c r="K147" s="160"/>
      <c r="N147" s="158"/>
      <c r="O147" s="173"/>
      <c r="P147" s="160"/>
      <c r="Q147" s="161"/>
    </row>
    <row r="148" spans="1:61">
      <c r="A148" s="164">
        <f>+A147+1</f>
        <v>70</v>
      </c>
      <c r="C148" s="167" t="s">
        <v>163</v>
      </c>
      <c r="E148" s="172"/>
      <c r="F148" s="174"/>
      <c r="H148" s="45"/>
      <c r="I148" s="107"/>
      <c r="J148" s="159"/>
      <c r="K148" s="160"/>
      <c r="N148" s="107"/>
      <c r="O148" s="159"/>
      <c r="P148" s="160"/>
      <c r="Q148" s="161"/>
    </row>
    <row r="149" spans="1:61">
      <c r="A149" s="175"/>
      <c r="B149" s="176"/>
      <c r="C149" s="175"/>
      <c r="D149" s="177"/>
      <c r="E149" s="177"/>
      <c r="F149" s="177"/>
      <c r="G149" s="177"/>
      <c r="H149" s="51"/>
      <c r="I149" s="107"/>
      <c r="J149" s="159"/>
      <c r="K149" s="178"/>
      <c r="N149" s="107"/>
      <c r="O149" s="159"/>
      <c r="P149" s="178"/>
      <c r="Q149" s="161"/>
    </row>
    <row r="150" spans="1:61">
      <c r="A150" s="32"/>
      <c r="C150" s="10"/>
      <c r="D150" s="10"/>
      <c r="E150" s="179"/>
      <c r="F150" s="10"/>
      <c r="G150" s="10"/>
      <c r="H150" s="10"/>
      <c r="I150" s="10"/>
      <c r="J150" s="10"/>
      <c r="K150" s="37"/>
      <c r="L150" s="37"/>
      <c r="M150" s="13"/>
      <c r="N150" s="180"/>
      <c r="O150" s="178"/>
      <c r="P150" s="181"/>
    </row>
    <row r="151" spans="1:61">
      <c r="A151" s="32"/>
      <c r="C151" s="10"/>
      <c r="D151" s="10"/>
      <c r="E151" s="179"/>
      <c r="F151" s="10"/>
      <c r="G151" s="10"/>
      <c r="H151" s="10"/>
      <c r="I151" s="10"/>
      <c r="J151" s="12"/>
      <c r="K151" s="13"/>
      <c r="L151" s="13"/>
      <c r="M151" s="13" t="s">
        <v>39</v>
      </c>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row>
    <row r="152" spans="1:61">
      <c r="A152" s="32"/>
      <c r="C152" s="10"/>
      <c r="D152" s="10"/>
      <c r="E152" s="11"/>
      <c r="F152" s="10"/>
      <c r="G152" s="10"/>
      <c r="H152" s="10"/>
      <c r="I152" s="10"/>
      <c r="J152" s="55"/>
      <c r="K152" s="17"/>
      <c r="L152" s="17"/>
      <c r="M152" s="17" t="s">
        <v>164</v>
      </c>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row>
    <row r="153" spans="1:61">
      <c r="A153" s="32"/>
      <c r="C153" s="10"/>
      <c r="D153" s="10"/>
      <c r="E153" s="11"/>
      <c r="F153" s="10"/>
      <c r="G153" s="10"/>
      <c r="H153" s="10"/>
      <c r="I153" s="10"/>
      <c r="J153" s="10"/>
      <c r="L153" s="17"/>
      <c r="M153" s="17"/>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row>
    <row r="154" spans="1:61">
      <c r="A154" s="32"/>
      <c r="C154" s="10"/>
      <c r="D154" s="10"/>
      <c r="E154" s="11"/>
      <c r="F154" s="10"/>
      <c r="G154" s="10"/>
      <c r="H154" s="10"/>
      <c r="I154" s="10"/>
      <c r="J154" s="10"/>
      <c r="L154" s="17"/>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row>
    <row r="155" spans="1:61">
      <c r="A155" s="32"/>
      <c r="C155" s="10" t="s">
        <v>46</v>
      </c>
      <c r="D155" s="18"/>
      <c r="E155" s="32" t="s">
        <v>165</v>
      </c>
      <c r="F155" s="10"/>
      <c r="G155" s="10"/>
      <c r="H155" s="10"/>
      <c r="I155" s="10"/>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row>
    <row r="156" spans="1:61">
      <c r="A156" s="32"/>
      <c r="C156" s="10"/>
      <c r="D156" s="21"/>
      <c r="E156" s="22" t="s">
        <v>42</v>
      </c>
      <c r="F156" s="21"/>
      <c r="G156" s="21"/>
      <c r="H156" s="21"/>
      <c r="I156" s="10"/>
      <c r="J156" s="10"/>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row>
    <row r="157" spans="1:61">
      <c r="A157" s="32"/>
      <c r="E157" s="63" t="str">
        <f>E7</f>
        <v>GridLiance West LLC (GLW)</v>
      </c>
      <c r="K157" s="24"/>
      <c r="L157" s="24"/>
      <c r="M157" s="56" t="str">
        <f>+M85</f>
        <v>For The 12 Months Ended 12/31/2027</v>
      </c>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row>
    <row r="158" spans="1:61">
      <c r="A158" s="32"/>
      <c r="E158" s="16"/>
      <c r="K158" s="57"/>
      <c r="M158" s="47"/>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row>
    <row r="159" spans="1:61">
      <c r="A159" s="32"/>
      <c r="E159" s="63" t="s">
        <v>166</v>
      </c>
      <c r="K159" s="57"/>
      <c r="L159" s="57"/>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row>
    <row r="160" spans="1:61">
      <c r="A160" s="32"/>
      <c r="C160" s="65"/>
      <c r="K160" s="57"/>
      <c r="L160" s="57"/>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row>
    <row r="161" spans="1:61">
      <c r="A161" s="32">
        <f>+A148+1</f>
        <v>71</v>
      </c>
      <c r="C161" s="10" t="s">
        <v>167</v>
      </c>
      <c r="J161" s="55"/>
      <c r="K161" s="47"/>
      <c r="L161" s="47"/>
      <c r="M161" s="17"/>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row>
    <row r="162" spans="1:61">
      <c r="A162" s="32"/>
      <c r="C162" s="10"/>
      <c r="J162" s="182"/>
      <c r="K162" s="47"/>
      <c r="L162" s="47"/>
      <c r="M162" s="47"/>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row>
    <row r="163" spans="1:61">
      <c r="A163" s="32">
        <f>+A161+1</f>
        <v>72</v>
      </c>
      <c r="C163" s="10" t="str">
        <f>"Total transmission plant    (line "&amp;A40&amp;", column 3)"</f>
        <v>Total transmission plant    (line 5, column 3)</v>
      </c>
      <c r="E163" s="21"/>
      <c r="F163" s="21"/>
      <c r="G163" s="21"/>
      <c r="H163" s="21"/>
      <c r="I163" s="21"/>
      <c r="J163" s="45">
        <f>+E40</f>
        <v>310275232.7838462</v>
      </c>
      <c r="K163" s="57"/>
      <c r="L163" s="57"/>
      <c r="M163" s="57"/>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row>
    <row r="164" spans="1:61">
      <c r="A164" s="32">
        <f>+A163+1</f>
        <v>73</v>
      </c>
      <c r="C164" s="10" t="str">
        <f>"Less transmission plant excluded from CAISO rates       (Attach 2a, line 132) (Note "&amp;A223&amp;")"</f>
        <v>Less transmission plant excluded from CAISO rates       (Attach 2a, line 132) (Note H)</v>
      </c>
      <c r="J164" s="45">
        <f>+'2a - Cost Support'!G62</f>
        <v>0</v>
      </c>
      <c r="K164" s="57"/>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row>
    <row r="165" spans="1:61" ht="16.5" thickBot="1">
      <c r="A165" s="32">
        <f>+A164+1</f>
        <v>74</v>
      </c>
      <c r="C165" s="183" t="str">
        <f>"Less transmission plant included in OATT Ancillary Services (Attach 2a, line 132a) (Note "&amp;A223&amp;")"</f>
        <v>Less transmission plant included in OATT Ancillary Services (Attach 2a, line 132a) (Note H)</v>
      </c>
      <c r="D165" s="184"/>
      <c r="E165" s="185"/>
      <c r="F165" s="21"/>
      <c r="G165" s="21"/>
      <c r="H165" s="22"/>
      <c r="I165" s="21"/>
      <c r="J165" s="86">
        <f>'2a - Cost Support'!G63</f>
        <v>0</v>
      </c>
      <c r="K165" s="57"/>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row>
    <row r="166" spans="1:61">
      <c r="A166" s="32">
        <f>+A165+1</f>
        <v>75</v>
      </c>
      <c r="C166" s="10" t="str">
        <f>"Transmission plant included in RTO rates  (line "&amp;A163&amp;" less lines "&amp;A164&amp;" &amp; "&amp;A165&amp;")"</f>
        <v>Transmission plant included in RTO rates  (line 72 less lines 73 &amp; 74)</v>
      </c>
      <c r="E166" s="21"/>
      <c r="F166" s="21"/>
      <c r="G166" s="21"/>
      <c r="H166" s="22"/>
      <c r="I166" s="21"/>
      <c r="J166" s="45">
        <f>+J163-J164-J165</f>
        <v>310275232.7838462</v>
      </c>
      <c r="K166" s="57"/>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row>
    <row r="167" spans="1:61">
      <c r="A167" s="32"/>
      <c r="E167" s="21"/>
      <c r="F167" s="21"/>
      <c r="G167" s="21"/>
      <c r="H167" s="22"/>
      <c r="I167" s="21"/>
      <c r="K167" s="57"/>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row>
    <row r="168" spans="1:61">
      <c r="A168" s="32">
        <f>+A166+1</f>
        <v>76</v>
      </c>
      <c r="C168" s="10" t="str">
        <f>"Percentage of transmission plant included in RTO Rates (line "&amp;A166&amp;" divided by line "&amp;A163&amp;") [If line "&amp;A163&amp;" equals zero, enter 1)"</f>
        <v>Percentage of transmission plant included in RTO Rates (line 75 divided by line 72) [If line 72 equals zero, enter 1)</v>
      </c>
      <c r="D168" s="33"/>
      <c r="E168" s="33"/>
      <c r="F168" s="33"/>
      <c r="G168" s="33"/>
      <c r="H168" s="60"/>
      <c r="I168" s="21" t="s">
        <v>168</v>
      </c>
      <c r="J168" s="129">
        <f>IF(J163&gt;0,+J166/J163,1)</f>
        <v>1</v>
      </c>
      <c r="K168" s="186"/>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row>
    <row r="169" spans="1:61">
      <c r="A169" s="32"/>
      <c r="K169" s="57"/>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row>
    <row r="170" spans="1:61">
      <c r="A170" s="32">
        <f>+A168+1</f>
        <v>77</v>
      </c>
      <c r="C170" s="9" t="s">
        <v>169</v>
      </c>
      <c r="D170" s="21"/>
      <c r="F170" s="21"/>
      <c r="G170" s="21"/>
      <c r="H170" s="21"/>
      <c r="I170" s="182"/>
      <c r="J170" s="21"/>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row>
    <row r="171" spans="1:61" ht="16.5" thickBot="1">
      <c r="A171" s="32">
        <f>+A170+1</f>
        <v>78</v>
      </c>
      <c r="D171" s="185" t="s">
        <v>170</v>
      </c>
      <c r="E171" s="187" t="s">
        <v>171</v>
      </c>
      <c r="F171" s="187" t="s">
        <v>75</v>
      </c>
      <c r="G171" s="21"/>
      <c r="H171" s="187" t="s">
        <v>172</v>
      </c>
      <c r="I171" s="21"/>
      <c r="M171" s="57"/>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row>
    <row r="172" spans="1:61">
      <c r="A172" s="32">
        <f>+A171+1</f>
        <v>79</v>
      </c>
      <c r="C172" s="9" t="s">
        <v>84</v>
      </c>
      <c r="D172" s="21" t="s">
        <v>173</v>
      </c>
      <c r="E172" s="188">
        <v>1</v>
      </c>
      <c r="F172" s="189">
        <f>+J168</f>
        <v>1</v>
      </c>
      <c r="H172" s="157">
        <f>+F172*E172</f>
        <v>1</v>
      </c>
      <c r="I172" s="21"/>
      <c r="K172" s="57"/>
      <c r="L172" s="57"/>
      <c r="M172" s="57"/>
      <c r="N172" s="190"/>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row>
    <row r="173" spans="1:61" ht="16.5" thickBot="1">
      <c r="A173" s="32">
        <f>+A172+1</f>
        <v>80</v>
      </c>
      <c r="C173" s="9" t="s">
        <v>174</v>
      </c>
      <c r="D173" s="21" t="s">
        <v>175</v>
      </c>
      <c r="E173" s="191"/>
      <c r="F173" s="192" t="s">
        <v>176</v>
      </c>
      <c r="G173" s="192"/>
      <c r="H173" s="193"/>
      <c r="I173" s="21"/>
      <c r="J173" s="38" t="s">
        <v>177</v>
      </c>
      <c r="K173" s="57"/>
      <c r="L173" s="57"/>
      <c r="M173" s="57"/>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row>
    <row r="174" spans="1:61">
      <c r="A174" s="32">
        <f>+A173+1</f>
        <v>81</v>
      </c>
      <c r="C174" s="9" t="str">
        <f>"  Total  (sum lines "&amp;A172&amp;"-"&amp;A173&amp;") [ If there are no labor dollars,input $1 on line "&amp;A172&amp;" "</f>
        <v xml:space="preserve">  Total  (sum lines 79-80) [ If there are no labor dollars,input $1 on line 79 </v>
      </c>
      <c r="D174" s="21"/>
      <c r="E174" s="189">
        <f>SUM(E172:E173)</f>
        <v>1</v>
      </c>
      <c r="F174" s="21"/>
      <c r="G174" s="21"/>
      <c r="H174" s="157">
        <f>SUM(H172:H173)</f>
        <v>1</v>
      </c>
      <c r="I174" s="58" t="s">
        <v>178</v>
      </c>
      <c r="J174" s="77">
        <f>IF(H174&gt;0,H174/E174,0)</f>
        <v>1</v>
      </c>
      <c r="K174" s="84" t="s">
        <v>178</v>
      </c>
      <c r="L174" s="84" t="s">
        <v>78</v>
      </c>
      <c r="M174" s="57"/>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row>
    <row r="175" spans="1:61">
      <c r="A175" s="32"/>
      <c r="B175" s="10"/>
      <c r="C175" s="10" t="str">
        <f>"   which is then multiplied by the TP allocator on line "&amp;A172&amp;"]"</f>
        <v xml:space="preserve">   which is then multiplied by the TP allocator on line 79]</v>
      </c>
      <c r="D175" s="21"/>
      <c r="E175" s="21"/>
      <c r="F175" s="21"/>
      <c r="G175" s="21"/>
      <c r="H175" s="21"/>
      <c r="I175" s="21"/>
      <c r="J175" s="21"/>
      <c r="K175" s="57"/>
      <c r="L175" s="57"/>
      <c r="M175" s="57"/>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row>
    <row r="176" spans="1:61">
      <c r="A176" s="32"/>
      <c r="B176" s="10"/>
      <c r="C176" s="10"/>
      <c r="D176" s="21"/>
      <c r="E176" s="21"/>
      <c r="F176" s="21"/>
      <c r="G176" s="21"/>
      <c r="H176" s="21"/>
      <c r="I176" s="21"/>
      <c r="J176" s="21"/>
      <c r="K176" s="57"/>
      <c r="L176" s="57"/>
      <c r="M176" s="57"/>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row>
    <row r="177" spans="1:61">
      <c r="A177" s="32">
        <f>+A174+1</f>
        <v>82</v>
      </c>
      <c r="B177" s="10"/>
      <c r="C177" s="10" t="str">
        <f>"RETURN (R)      (Note "&amp;A225&amp;")"</f>
        <v>RETURN (R)      (Note J)</v>
      </c>
      <c r="D177" s="21"/>
      <c r="E177" s="10"/>
      <c r="F177" s="10"/>
      <c r="G177" s="10"/>
      <c r="H177" s="10"/>
      <c r="I177" s="10"/>
      <c r="J177" s="21"/>
      <c r="K177" s="57"/>
      <c r="L177" s="57"/>
      <c r="M177" s="57"/>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row>
    <row r="178" spans="1:61" ht="16.5" thickBot="1">
      <c r="A178" s="32"/>
      <c r="D178" s="21"/>
      <c r="E178" s="38" t="s">
        <v>171</v>
      </c>
      <c r="F178" s="38" t="s">
        <v>179</v>
      </c>
      <c r="G178" s="21"/>
      <c r="H178" s="187" t="s">
        <v>180</v>
      </c>
      <c r="I178" s="21"/>
      <c r="J178" s="38" t="s">
        <v>181</v>
      </c>
      <c r="K178" s="57"/>
      <c r="L178" s="57"/>
      <c r="M178" s="57"/>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row>
    <row r="179" spans="1:61">
      <c r="A179" s="32">
        <f>+A177+1</f>
        <v>83</v>
      </c>
      <c r="C179" s="10" t="s">
        <v>182</v>
      </c>
      <c r="D179" s="21"/>
      <c r="E179" s="194">
        <f>+'2b - Cost Support'!Q16</f>
        <v>535545359.95869541</v>
      </c>
      <c r="F179" s="188">
        <f>IFERROR(+MAX(E179/E$182,40%),0)</f>
        <v>0.4</v>
      </c>
      <c r="G179" s="157"/>
      <c r="H179" s="195">
        <f>'2b - Cost Support'!P38</f>
        <v>5.4699999999999999E-2</v>
      </c>
      <c r="J179" s="46">
        <f>+H179*F179</f>
        <v>2.188E-2</v>
      </c>
      <c r="K179" s="196" t="s">
        <v>183</v>
      </c>
      <c r="M179" s="57"/>
      <c r="N179" s="190"/>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row>
    <row r="180" spans="1:61">
      <c r="A180" s="32">
        <f>+A179+1</f>
        <v>84</v>
      </c>
      <c r="C180" s="10" t="s">
        <v>184</v>
      </c>
      <c r="D180" s="21"/>
      <c r="E180" s="189">
        <f>+'2b - Cost Support'!Q18</f>
        <v>0</v>
      </c>
      <c r="F180" s="188">
        <f>IFERROR(+E180/E$182,0)</f>
        <v>0</v>
      </c>
      <c r="G180" s="157"/>
      <c r="H180" s="157">
        <f>+'2b - Cost Support'!P43</f>
        <v>0</v>
      </c>
      <c r="J180" s="46">
        <f>+H180*F180</f>
        <v>0</v>
      </c>
      <c r="K180" s="57"/>
      <c r="M180" s="57"/>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row>
    <row r="181" spans="1:61" ht="16.5" thickBot="1">
      <c r="A181" s="32">
        <f>+A180+1</f>
        <v>85</v>
      </c>
      <c r="C181" s="10" t="s">
        <v>185</v>
      </c>
      <c r="D181" s="21"/>
      <c r="E181" s="197">
        <f>+'2b - Cost Support'!Q25</f>
        <v>803318039.938043</v>
      </c>
      <c r="F181" s="188">
        <f>IFERROR(MIN(E181/E$182,60%),0)</f>
        <v>0.59999999999999987</v>
      </c>
      <c r="G181" s="198"/>
      <c r="H181" s="199">
        <f>10.1%+0.005</f>
        <v>0.106</v>
      </c>
      <c r="J181" s="200">
        <f>+H181*F181</f>
        <v>6.359999999999999E-2</v>
      </c>
      <c r="K181" s="57"/>
      <c r="M181" s="57"/>
      <c r="N181" s="190"/>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row>
    <row r="182" spans="1:61">
      <c r="A182" s="32">
        <f>+A181+1</f>
        <v>86</v>
      </c>
      <c r="C182" s="9" t="str">
        <f>"Total  (sum lines "&amp;A179&amp;"-"&amp;A181&amp;")"</f>
        <v>Total  (sum lines 83-85)</v>
      </c>
      <c r="E182" s="157">
        <f>SUM(E179:E181)</f>
        <v>1338863399.8967385</v>
      </c>
      <c r="F182" s="198" t="s">
        <v>55</v>
      </c>
      <c r="G182" s="198"/>
      <c r="H182" s="198"/>
      <c r="I182" s="21"/>
      <c r="J182" s="46">
        <f>SUM(J179:J181)</f>
        <v>8.5479999999999987E-2</v>
      </c>
      <c r="K182" s="196" t="s">
        <v>186</v>
      </c>
      <c r="M182" s="57"/>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row>
    <row r="183" spans="1:61">
      <c r="F183" s="21"/>
      <c r="G183" s="21"/>
      <c r="H183" s="21"/>
      <c r="I183" s="21"/>
      <c r="M183" s="57"/>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row>
    <row r="184" spans="1:61">
      <c r="C184" s="58"/>
      <c r="D184" s="58"/>
      <c r="E184" s="58"/>
      <c r="F184" s="21"/>
      <c r="G184" s="21"/>
      <c r="H184" s="59"/>
      <c r="I184" s="21"/>
      <c r="J184" s="174"/>
      <c r="M184" s="201"/>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row>
    <row r="185" spans="1:61">
      <c r="C185" s="2" t="s">
        <v>187</v>
      </c>
      <c r="F185" s="21"/>
      <c r="G185" s="21"/>
      <c r="H185" s="22" t="s">
        <v>188</v>
      </c>
      <c r="I185" s="21"/>
      <c r="J185" s="174"/>
      <c r="M185" s="201"/>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row>
    <row r="186" spans="1:61">
      <c r="A186" s="58"/>
      <c r="F186" s="21"/>
      <c r="G186" s="21"/>
      <c r="H186" s="40"/>
      <c r="I186" s="21"/>
      <c r="J186" s="174"/>
      <c r="M186" s="201"/>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row>
    <row r="187" spans="1:61">
      <c r="A187" s="58">
        <f>+A182+1</f>
        <v>87</v>
      </c>
      <c r="C187" s="9" t="s">
        <v>189</v>
      </c>
      <c r="D187" s="9" t="s">
        <v>190</v>
      </c>
      <c r="F187" s="21"/>
      <c r="G187" s="21"/>
      <c r="H187" s="202">
        <f>+J50</f>
        <v>276931348.71538466</v>
      </c>
      <c r="I187" s="21"/>
      <c r="J187" s="174"/>
      <c r="M187" s="201"/>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row>
    <row r="188" spans="1:61">
      <c r="A188" s="58">
        <f>+A187+1</f>
        <v>88</v>
      </c>
      <c r="C188" s="9" t="s">
        <v>33</v>
      </c>
      <c r="D188" s="9" t="s">
        <v>191</v>
      </c>
      <c r="F188" s="21"/>
      <c r="G188" s="21"/>
      <c r="H188" s="202">
        <f>+J57</f>
        <v>1006948960.0677832</v>
      </c>
      <c r="I188" s="21"/>
      <c r="J188" s="174"/>
      <c r="M188" s="201"/>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row>
    <row r="189" spans="1:61">
      <c r="A189" s="58">
        <f>+A188+1</f>
        <v>89</v>
      </c>
      <c r="C189" s="90" t="s">
        <v>192</v>
      </c>
      <c r="D189" s="9" t="s">
        <v>193</v>
      </c>
      <c r="F189" s="21"/>
      <c r="G189" s="21"/>
      <c r="H189" s="202">
        <f>+J60</f>
        <v>0</v>
      </c>
      <c r="I189" s="21"/>
      <c r="J189" s="174"/>
      <c r="M189" s="201"/>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row>
    <row r="190" spans="1:61">
      <c r="A190" s="58">
        <f>+A189+1</f>
        <v>90</v>
      </c>
      <c r="C190" s="90" t="s">
        <v>194</v>
      </c>
      <c r="D190" s="9" t="s">
        <v>195</v>
      </c>
      <c r="F190" s="21"/>
      <c r="G190" s="21"/>
      <c r="H190" s="203">
        <f>+J59</f>
        <v>3050269.9199999901</v>
      </c>
      <c r="I190" s="21"/>
      <c r="J190" s="174"/>
      <c r="M190" s="201"/>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row>
    <row r="191" spans="1:61">
      <c r="A191" s="58">
        <f>+A190+1</f>
        <v>91</v>
      </c>
      <c r="C191" s="204" t="str">
        <f>+C185</f>
        <v>Sum Of Net Transmission Plant, CWIP in Rate Base, Regulatory Asset and Unamortized Abandoned Plant</v>
      </c>
      <c r="F191" s="21"/>
      <c r="G191" s="21"/>
      <c r="H191" s="45">
        <f>SUM(H187:H190)</f>
        <v>1286930578.7031679</v>
      </c>
      <c r="I191" s="21"/>
      <c r="J191" s="174"/>
      <c r="M191" s="201"/>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row>
    <row r="192" spans="1:61">
      <c r="A192" s="58"/>
      <c r="F192" s="21"/>
      <c r="G192" s="21"/>
      <c r="H192" s="21"/>
      <c r="I192" s="21"/>
      <c r="J192" s="174"/>
      <c r="M192" s="201"/>
      <c r="N192" s="20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row>
    <row r="193" spans="1:61">
      <c r="A193" s="58">
        <v>89</v>
      </c>
      <c r="C193" s="9" t="s">
        <v>196</v>
      </c>
      <c r="F193" s="21"/>
      <c r="G193" s="21"/>
      <c r="H193" s="21"/>
      <c r="I193" s="21"/>
      <c r="J193" s="174"/>
      <c r="M193" s="201"/>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row>
    <row r="194" spans="1:61">
      <c r="E194" s="206"/>
      <c r="F194" s="21"/>
      <c r="G194" s="21"/>
      <c r="H194" s="21"/>
      <c r="I194" s="21"/>
      <c r="J194" s="206"/>
      <c r="M194" s="57"/>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row>
    <row r="195" spans="1:61">
      <c r="C195" s="10"/>
      <c r="D195" s="10"/>
      <c r="E195" s="11"/>
      <c r="F195" s="10"/>
      <c r="G195" s="10"/>
      <c r="H195" s="10"/>
      <c r="I195" s="10"/>
      <c r="J195" s="55"/>
      <c r="K195" s="17"/>
      <c r="L195" s="17"/>
      <c r="M195" s="13" t="s">
        <v>39</v>
      </c>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row>
    <row r="196" spans="1:61">
      <c r="C196" s="10"/>
      <c r="D196" s="10"/>
      <c r="E196" s="11"/>
      <c r="F196" s="10"/>
      <c r="G196" s="10"/>
      <c r="H196" s="10"/>
      <c r="I196" s="10"/>
      <c r="J196" s="10"/>
      <c r="L196" s="17"/>
      <c r="M196" s="17" t="s">
        <v>197</v>
      </c>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row>
    <row r="197" spans="1:61">
      <c r="C197" s="10"/>
      <c r="D197" s="65" t="s">
        <v>198</v>
      </c>
      <c r="F197" s="10"/>
      <c r="G197" s="10"/>
      <c r="H197" s="10"/>
      <c r="I197" s="10"/>
      <c r="J197" s="10"/>
      <c r="L197" s="17"/>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row>
    <row r="198" spans="1:61">
      <c r="C198" s="10" t="s">
        <v>46</v>
      </c>
      <c r="D198" s="18"/>
      <c r="F198" s="10"/>
      <c r="G198" s="10"/>
      <c r="H198" s="10"/>
      <c r="I198" s="10"/>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row>
    <row r="199" spans="1:61">
      <c r="C199" s="10"/>
      <c r="D199" s="21" t="s">
        <v>55</v>
      </c>
      <c r="E199" s="19" t="s">
        <v>41</v>
      </c>
      <c r="F199" s="21"/>
      <c r="G199" s="21"/>
      <c r="H199" s="21"/>
      <c r="I199" s="10"/>
      <c r="J199" s="10"/>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row>
    <row r="200" spans="1:61">
      <c r="A200" s="32"/>
      <c r="E200" s="22" t="s">
        <v>42</v>
      </c>
      <c r="K200" s="24"/>
      <c r="L200" s="24"/>
      <c r="M200" s="56" t="str">
        <f>+M157</f>
        <v>For The 12 Months Ended 12/31/2027</v>
      </c>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row>
    <row r="201" spans="1:61">
      <c r="A201" s="32"/>
      <c r="E201" s="61" t="str">
        <f>E7</f>
        <v>GridLiance West LLC (GLW)</v>
      </c>
      <c r="K201" s="57"/>
      <c r="M201" s="47"/>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row>
    <row r="202" spans="1:61">
      <c r="A202" s="32"/>
      <c r="D202" s="32"/>
      <c r="K202" s="57"/>
      <c r="L202" s="57"/>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row>
    <row r="203" spans="1:61">
      <c r="A203" s="32"/>
      <c r="B203" s="10"/>
      <c r="C203" s="207"/>
      <c r="D203" s="32"/>
      <c r="E203" s="21"/>
      <c r="F203" s="21"/>
      <c r="G203" s="21"/>
      <c r="H203" s="21"/>
      <c r="I203" s="10"/>
      <c r="J203" s="18"/>
      <c r="K203" s="208"/>
      <c r="L203" s="209"/>
      <c r="M203" s="37"/>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row>
    <row r="204" spans="1:61">
      <c r="A204" s="32"/>
      <c r="B204" s="10"/>
      <c r="C204" s="207"/>
      <c r="F204" s="21"/>
      <c r="G204" s="21"/>
      <c r="H204" s="21"/>
      <c r="I204" s="10"/>
      <c r="J204" s="210"/>
      <c r="K204" s="208"/>
      <c r="L204" s="209"/>
      <c r="M204" s="37"/>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row>
    <row r="205" spans="1:61">
      <c r="A205" s="32"/>
      <c r="B205" s="10"/>
      <c r="C205" s="207"/>
      <c r="D205" s="32"/>
      <c r="E205" s="21"/>
      <c r="F205" s="21"/>
      <c r="G205" s="21"/>
      <c r="H205" s="21"/>
      <c r="I205" s="10"/>
      <c r="J205" s="210"/>
      <c r="K205" s="208"/>
      <c r="L205" s="209"/>
      <c r="M205" s="37"/>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row>
    <row r="206" spans="1:61">
      <c r="A206" s="32"/>
      <c r="B206" s="10"/>
      <c r="C206" s="10" t="s">
        <v>199</v>
      </c>
      <c r="D206" s="32"/>
      <c r="E206" s="21"/>
      <c r="F206" s="21"/>
      <c r="G206" s="21"/>
      <c r="H206" s="21"/>
      <c r="I206" s="10"/>
      <c r="J206" s="21"/>
      <c r="K206" s="98"/>
      <c r="L206" s="57"/>
      <c r="M206" s="37"/>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row>
    <row r="207" spans="1:61">
      <c r="A207" s="32"/>
      <c r="B207" s="10"/>
      <c r="C207" s="10" t="s">
        <v>200</v>
      </c>
      <c r="D207" s="32"/>
      <c r="E207" s="21"/>
      <c r="F207" s="21"/>
      <c r="G207" s="21"/>
      <c r="H207" s="21"/>
      <c r="I207" s="10"/>
      <c r="J207" s="21"/>
      <c r="K207" s="98"/>
      <c r="L207" s="57"/>
      <c r="M207" s="37"/>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row>
    <row r="208" spans="1:61">
      <c r="A208" s="32" t="s">
        <v>201</v>
      </c>
      <c r="B208" s="10"/>
      <c r="C208" s="10"/>
      <c r="D208" s="10"/>
      <c r="E208" s="21"/>
      <c r="F208" s="21"/>
      <c r="G208" s="21"/>
      <c r="H208" s="21"/>
      <c r="I208" s="10"/>
      <c r="J208" s="21"/>
      <c r="K208" s="98"/>
      <c r="L208" s="57"/>
      <c r="M208" s="37"/>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row>
    <row r="209" spans="1:61" ht="16.5" thickBot="1">
      <c r="A209" s="38" t="s">
        <v>202</v>
      </c>
      <c r="B209" s="10"/>
      <c r="C209" s="10"/>
      <c r="D209" s="10"/>
      <c r="E209" s="21"/>
      <c r="F209" s="21"/>
      <c r="G209" s="21"/>
      <c r="H209" s="21"/>
      <c r="I209" s="10"/>
      <c r="J209" s="21"/>
      <c r="K209" s="98"/>
      <c r="L209" s="57"/>
      <c r="M209" s="37"/>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row>
    <row r="210" spans="1:61">
      <c r="A210" s="211" t="s">
        <v>203</v>
      </c>
      <c r="B210" s="212"/>
      <c r="C210" s="1014" t="s">
        <v>204</v>
      </c>
      <c r="D210" s="1014"/>
      <c r="E210" s="1014"/>
      <c r="F210" s="1014"/>
      <c r="G210" s="1014"/>
      <c r="H210" s="1014"/>
      <c r="I210" s="1014"/>
      <c r="J210" s="1014"/>
      <c r="K210" s="1014"/>
      <c r="L210" s="1014"/>
      <c r="M210" s="37"/>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row>
    <row r="211" spans="1:61" ht="66.2" customHeight="1">
      <c r="A211" s="211"/>
      <c r="B211" s="212"/>
      <c r="C211" s="1014"/>
      <c r="D211" s="1014"/>
      <c r="E211" s="1014"/>
      <c r="F211" s="1014"/>
      <c r="G211" s="1014"/>
      <c r="H211" s="1014"/>
      <c r="I211" s="1014"/>
      <c r="J211" s="1014"/>
      <c r="K211" s="1014"/>
      <c r="L211" s="1014"/>
      <c r="M211" s="37"/>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row>
    <row r="212" spans="1:61" ht="22.7" customHeight="1">
      <c r="A212" s="211" t="s">
        <v>205</v>
      </c>
      <c r="B212" s="212"/>
      <c r="C212" s="212" t="s">
        <v>206</v>
      </c>
      <c r="D212" s="212"/>
      <c r="E212" s="212"/>
      <c r="F212" s="212"/>
      <c r="G212" s="212"/>
      <c r="H212" s="212"/>
      <c r="I212" s="212"/>
      <c r="J212" s="212"/>
      <c r="K212" s="213"/>
      <c r="L212" s="213"/>
      <c r="M212" s="37"/>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row>
    <row r="213" spans="1:61" ht="15.75" customHeight="1">
      <c r="A213" s="211" t="s">
        <v>207</v>
      </c>
      <c r="B213" s="212"/>
      <c r="C213" s="1014" t="s">
        <v>208</v>
      </c>
      <c r="D213" s="1014"/>
      <c r="E213" s="1014"/>
      <c r="F213" s="1014"/>
      <c r="G213" s="1014"/>
      <c r="H213" s="1014"/>
      <c r="I213" s="1014"/>
      <c r="J213" s="1014"/>
      <c r="K213" s="1014"/>
      <c r="L213" s="1014"/>
      <c r="M213" s="37"/>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row>
    <row r="214" spans="1:61" ht="18" customHeight="1">
      <c r="A214" s="211" t="s">
        <v>209</v>
      </c>
      <c r="B214" s="212"/>
      <c r="C214" s="1016" t="s">
        <v>210</v>
      </c>
      <c r="D214" s="1016"/>
      <c r="E214" s="1016"/>
      <c r="F214" s="1016"/>
      <c r="G214" s="1016"/>
      <c r="H214" s="1016"/>
      <c r="I214" s="1016"/>
      <c r="J214" s="1016"/>
      <c r="K214" s="1016"/>
      <c r="L214" s="1016"/>
      <c r="M214" s="37"/>
      <c r="N214" s="214"/>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row>
    <row r="215" spans="1:61" ht="18">
      <c r="A215" s="211"/>
      <c r="B215" s="212"/>
      <c r="C215" s="215" t="s">
        <v>211</v>
      </c>
      <c r="D215" s="212"/>
      <c r="E215" s="212"/>
      <c r="F215" s="212"/>
      <c r="G215" s="212"/>
      <c r="H215" s="212"/>
      <c r="I215" s="212"/>
      <c r="J215" s="212"/>
      <c r="K215" s="213"/>
      <c r="L215" s="213"/>
      <c r="M215" s="37"/>
      <c r="N215" s="214"/>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row>
    <row r="216" spans="1:61" ht="39.75" customHeight="1">
      <c r="A216" s="211" t="s">
        <v>212</v>
      </c>
      <c r="B216" s="212"/>
      <c r="C216" s="1014" t="s">
        <v>213</v>
      </c>
      <c r="D216" s="1014"/>
      <c r="E216" s="1014"/>
      <c r="F216" s="1014"/>
      <c r="G216" s="1014"/>
      <c r="H216" s="1014"/>
      <c r="I216" s="1014"/>
      <c r="J216" s="1014"/>
      <c r="K216" s="1014"/>
      <c r="L216" s="1014"/>
      <c r="M216" s="37"/>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row>
    <row r="217" spans="1:61" ht="63" customHeight="1">
      <c r="A217" s="211" t="s">
        <v>214</v>
      </c>
      <c r="B217" s="212"/>
      <c r="C217" s="1014" t="s">
        <v>215</v>
      </c>
      <c r="D217" s="1014"/>
      <c r="E217" s="1014"/>
      <c r="F217" s="1014"/>
      <c r="G217" s="1014"/>
      <c r="H217" s="1014"/>
      <c r="I217" s="1014"/>
      <c r="J217" s="1014"/>
      <c r="K217" s="1014"/>
      <c r="L217" s="1014"/>
      <c r="M217" s="37"/>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row>
    <row r="218" spans="1:61">
      <c r="A218" s="211" t="s">
        <v>55</v>
      </c>
      <c r="B218" s="212"/>
      <c r="C218" s="212" t="s">
        <v>216</v>
      </c>
      <c r="D218" s="212" t="s">
        <v>217</v>
      </c>
      <c r="E218" s="216">
        <v>0.21</v>
      </c>
      <c r="F218" s="212"/>
      <c r="G218" s="212"/>
      <c r="H218" s="212"/>
      <c r="I218" s="212"/>
      <c r="J218" s="212"/>
      <c r="K218" s="213"/>
      <c r="L218" s="213"/>
      <c r="M218" s="37"/>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row>
    <row r="219" spans="1:61">
      <c r="A219" s="211"/>
      <c r="B219" s="212"/>
      <c r="C219" s="212"/>
      <c r="D219" s="212" t="s">
        <v>218</v>
      </c>
      <c r="E219" s="216">
        <v>0</v>
      </c>
      <c r="F219" s="217"/>
      <c r="G219" s="212"/>
      <c r="H219" s="212"/>
      <c r="I219" s="212"/>
      <c r="J219" s="212"/>
      <c r="K219" s="213"/>
      <c r="L219" s="213"/>
      <c r="M219" s="37"/>
      <c r="N219" s="218"/>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row>
    <row r="220" spans="1:61">
      <c r="A220" s="211"/>
      <c r="B220" s="212"/>
      <c r="C220" s="212"/>
      <c r="D220" s="212" t="s">
        <v>219</v>
      </c>
      <c r="E220" s="216">
        <v>0</v>
      </c>
      <c r="F220" s="217"/>
      <c r="G220" s="212"/>
      <c r="H220" s="212"/>
      <c r="I220" s="212"/>
      <c r="J220" s="212"/>
      <c r="K220" s="213"/>
      <c r="L220" s="213"/>
      <c r="M220" s="37"/>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row>
    <row r="221" spans="1:61" ht="36.75" customHeight="1">
      <c r="A221" s="211"/>
      <c r="B221" s="212"/>
      <c r="C221" s="1017" t="s">
        <v>220</v>
      </c>
      <c r="D221" s="1017"/>
      <c r="E221" s="1017"/>
      <c r="F221" s="1017"/>
      <c r="G221" s="1017"/>
      <c r="H221" s="1017"/>
      <c r="I221" s="1017"/>
      <c r="J221" s="1017"/>
      <c r="K221" s="1017"/>
      <c r="L221" s="1017"/>
      <c r="M221" s="37"/>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row>
    <row r="222" spans="1:61" ht="17.649999999999999" customHeight="1">
      <c r="A222" s="211" t="s">
        <v>221</v>
      </c>
      <c r="B222" s="212"/>
      <c r="C222" s="1018" t="s">
        <v>163</v>
      </c>
      <c r="D222" s="1018"/>
      <c r="E222" s="1018"/>
      <c r="F222" s="1018"/>
      <c r="G222" s="1018"/>
      <c r="H222" s="1018"/>
      <c r="I222" s="1018"/>
      <c r="J222" s="1018"/>
      <c r="K222" s="1018"/>
      <c r="L222" s="1018"/>
      <c r="M222" s="37"/>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row>
    <row r="223" spans="1:61" ht="35.450000000000003" customHeight="1">
      <c r="A223" s="211" t="s">
        <v>222</v>
      </c>
      <c r="B223" s="212"/>
      <c r="C223" s="1014" t="s">
        <v>223</v>
      </c>
      <c r="D223" s="1014"/>
      <c r="E223" s="1014"/>
      <c r="F223" s="1014"/>
      <c r="G223" s="1014"/>
      <c r="H223" s="1014"/>
      <c r="I223" s="1014"/>
      <c r="J223" s="1014"/>
      <c r="K223" s="1014"/>
      <c r="L223" s="1014"/>
      <c r="M223" s="37"/>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row>
    <row r="224" spans="1:61" ht="21.2" customHeight="1">
      <c r="A224" s="211" t="s">
        <v>224</v>
      </c>
      <c r="B224" s="212"/>
      <c r="C224" s="212" t="s">
        <v>163</v>
      </c>
      <c r="D224" s="212"/>
      <c r="E224" s="212"/>
      <c r="F224" s="212"/>
      <c r="G224" s="212"/>
      <c r="H224" s="212"/>
      <c r="I224" s="212"/>
      <c r="J224" s="212"/>
      <c r="K224" s="213"/>
      <c r="L224" s="213"/>
      <c r="M224" s="37"/>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row>
    <row r="225" spans="1:256">
      <c r="A225" s="211" t="s">
        <v>225</v>
      </c>
      <c r="B225" s="212"/>
      <c r="C225" s="215" t="s">
        <v>226</v>
      </c>
      <c r="D225" s="212"/>
      <c r="E225" s="212"/>
      <c r="F225" s="212"/>
      <c r="G225" s="212"/>
      <c r="H225" s="212"/>
      <c r="I225" s="212"/>
      <c r="J225" s="212"/>
      <c r="K225" s="213"/>
      <c r="L225" s="213"/>
      <c r="M225" s="37"/>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row>
    <row r="226" spans="1:256" ht="17.649999999999999" customHeight="1">
      <c r="A226" s="220" t="s">
        <v>227</v>
      </c>
      <c r="B226" s="221"/>
      <c r="C226" s="219" t="s">
        <v>163</v>
      </c>
      <c r="D226" s="219"/>
      <c r="E226" s="219"/>
      <c r="F226" s="219"/>
      <c r="G226" s="219"/>
      <c r="H226" s="219"/>
      <c r="I226" s="219"/>
      <c r="J226" s="219"/>
      <c r="K226" s="222"/>
      <c r="L226" s="222"/>
      <c r="M226" s="223"/>
      <c r="N226" s="223"/>
      <c r="O226" s="223"/>
      <c r="P226" s="223"/>
      <c r="Q226" s="223"/>
      <c r="R226" s="224"/>
      <c r="S226" s="224"/>
      <c r="T226" s="224"/>
      <c r="U226" s="224"/>
      <c r="V226" s="224"/>
      <c r="W226" s="224"/>
      <c r="X226" s="224"/>
      <c r="Y226" s="224"/>
      <c r="Z226" s="224"/>
      <c r="AA226" s="224"/>
      <c r="AB226" s="224"/>
      <c r="AC226" s="224"/>
      <c r="AD226" s="224"/>
      <c r="AE226" s="224"/>
      <c r="AF226" s="224"/>
      <c r="AG226" s="224"/>
      <c r="AH226" s="224"/>
      <c r="AI226" s="224"/>
      <c r="AJ226" s="224"/>
      <c r="AK226" s="224"/>
      <c r="AL226" s="224"/>
      <c r="AM226" s="224"/>
      <c r="AN226" s="224"/>
      <c r="AO226" s="224"/>
      <c r="AP226" s="224"/>
      <c r="AQ226" s="224"/>
      <c r="AR226" s="224"/>
      <c r="AS226" s="224"/>
      <c r="AT226" s="224"/>
      <c r="AU226" s="224"/>
      <c r="AV226" s="224"/>
      <c r="AW226" s="224"/>
      <c r="AX226" s="224"/>
      <c r="AY226" s="224"/>
      <c r="AZ226" s="224"/>
      <c r="BA226" s="224"/>
      <c r="BB226" s="224"/>
      <c r="BC226" s="224"/>
      <c r="BD226" s="224"/>
      <c r="BE226" s="224"/>
      <c r="BF226" s="224"/>
      <c r="BG226" s="224"/>
      <c r="BH226" s="224"/>
      <c r="BI226" s="224"/>
      <c r="BJ226" s="224"/>
      <c r="BK226" s="224"/>
      <c r="BL226" s="224"/>
      <c r="BM226" s="224"/>
      <c r="BN226" s="224"/>
      <c r="BO226" s="224"/>
      <c r="BP226" s="224"/>
      <c r="BQ226" s="224"/>
      <c r="BR226" s="224"/>
      <c r="BS226" s="224"/>
      <c r="BT226" s="224"/>
      <c r="BU226" s="224"/>
      <c r="BV226" s="224"/>
      <c r="BW226" s="224"/>
      <c r="BX226" s="224"/>
      <c r="BY226" s="224"/>
      <c r="BZ226" s="224"/>
      <c r="CA226" s="224"/>
      <c r="CB226" s="224"/>
      <c r="CC226" s="224"/>
      <c r="CD226" s="224"/>
      <c r="CE226" s="224"/>
      <c r="CF226" s="224"/>
      <c r="CG226" s="224"/>
      <c r="CH226" s="224"/>
      <c r="CI226" s="224"/>
      <c r="CJ226" s="224"/>
      <c r="CK226" s="224"/>
      <c r="CL226" s="224"/>
      <c r="CM226" s="224"/>
      <c r="CN226" s="224"/>
      <c r="CO226" s="224"/>
      <c r="CP226" s="224"/>
      <c r="CQ226" s="224"/>
      <c r="CR226" s="224"/>
      <c r="CS226" s="224"/>
      <c r="CT226" s="224"/>
      <c r="CU226" s="224"/>
      <c r="CV226" s="224"/>
      <c r="CW226" s="224"/>
      <c r="CX226" s="224"/>
      <c r="CY226" s="224"/>
      <c r="CZ226" s="224"/>
      <c r="DA226" s="224"/>
      <c r="DB226" s="224"/>
      <c r="DC226" s="224"/>
      <c r="DD226" s="224"/>
      <c r="DE226" s="224"/>
      <c r="DF226" s="224"/>
      <c r="DG226" s="224"/>
      <c r="DH226" s="224"/>
      <c r="DI226" s="224"/>
      <c r="DJ226" s="224"/>
      <c r="DK226" s="224"/>
      <c r="DL226" s="224"/>
      <c r="DM226" s="224"/>
      <c r="DN226" s="224"/>
      <c r="DO226" s="224"/>
      <c r="DP226" s="224"/>
      <c r="DQ226" s="224"/>
      <c r="DR226" s="224"/>
      <c r="DS226" s="224"/>
      <c r="DT226" s="224"/>
      <c r="DU226" s="224"/>
      <c r="DV226" s="224"/>
      <c r="DW226" s="224"/>
      <c r="DX226" s="224"/>
      <c r="DY226" s="224"/>
      <c r="DZ226" s="224"/>
      <c r="EA226" s="224"/>
      <c r="EB226" s="224"/>
      <c r="EC226" s="224"/>
      <c r="ED226" s="224"/>
      <c r="EE226" s="224"/>
      <c r="EF226" s="224"/>
      <c r="EG226" s="224"/>
      <c r="EH226" s="224"/>
      <c r="EI226" s="224"/>
      <c r="EJ226" s="224"/>
      <c r="EK226" s="224"/>
      <c r="EL226" s="224"/>
      <c r="EM226" s="224"/>
      <c r="EN226" s="224"/>
      <c r="EO226" s="224"/>
      <c r="EP226" s="224"/>
      <c r="EQ226" s="224"/>
      <c r="ER226" s="224"/>
      <c r="ES226" s="224"/>
      <c r="ET226" s="224"/>
      <c r="EU226" s="224"/>
      <c r="EV226" s="224"/>
      <c r="EW226" s="224"/>
      <c r="EX226" s="224"/>
      <c r="EY226" s="224"/>
      <c r="EZ226" s="224"/>
      <c r="FA226" s="224"/>
      <c r="FB226" s="224"/>
      <c r="FC226" s="224"/>
      <c r="FD226" s="224"/>
      <c r="FE226" s="224"/>
      <c r="FF226" s="224"/>
      <c r="FG226" s="224"/>
      <c r="FH226" s="224"/>
      <c r="FI226" s="224"/>
      <c r="FJ226" s="224"/>
      <c r="FK226" s="224"/>
      <c r="FL226" s="224"/>
      <c r="FM226" s="224"/>
      <c r="FN226" s="224"/>
      <c r="FO226" s="224"/>
      <c r="FP226" s="224"/>
      <c r="FQ226" s="224"/>
      <c r="FR226" s="224"/>
      <c r="FS226" s="224"/>
      <c r="FT226" s="224"/>
      <c r="FU226" s="224"/>
      <c r="FV226" s="224"/>
      <c r="FW226" s="224"/>
      <c r="FX226" s="224"/>
      <c r="FY226" s="224"/>
      <c r="FZ226" s="224"/>
      <c r="GA226" s="224"/>
      <c r="GB226" s="224"/>
      <c r="GC226" s="224"/>
      <c r="GD226" s="224"/>
      <c r="GE226" s="224"/>
      <c r="GF226" s="224"/>
      <c r="GG226" s="224"/>
      <c r="GH226" s="224"/>
      <c r="GI226" s="224"/>
      <c r="GJ226" s="224"/>
      <c r="GK226" s="224"/>
      <c r="GL226" s="224"/>
      <c r="GM226" s="224"/>
      <c r="GN226" s="224"/>
      <c r="GO226" s="224"/>
      <c r="GP226" s="224"/>
      <c r="GQ226" s="224"/>
      <c r="GR226" s="224"/>
      <c r="GS226" s="224"/>
      <c r="GT226" s="224"/>
      <c r="GU226" s="224"/>
      <c r="GV226" s="224"/>
      <c r="GW226" s="224"/>
      <c r="GX226" s="224"/>
      <c r="GY226" s="224"/>
      <c r="GZ226" s="224"/>
      <c r="HA226" s="224"/>
      <c r="HB226" s="224"/>
      <c r="HC226" s="224"/>
      <c r="HD226" s="224"/>
      <c r="HE226" s="224"/>
      <c r="HF226" s="224"/>
      <c r="HG226" s="224"/>
      <c r="HH226" s="224"/>
      <c r="HI226" s="224"/>
      <c r="HJ226" s="224"/>
      <c r="HK226" s="224"/>
      <c r="HL226" s="224"/>
      <c r="HM226" s="224"/>
      <c r="HN226" s="224"/>
      <c r="HO226" s="224"/>
      <c r="HP226" s="224"/>
      <c r="HQ226" s="224"/>
      <c r="HR226" s="224"/>
      <c r="HS226" s="224"/>
      <c r="HT226" s="224"/>
      <c r="HU226" s="224"/>
      <c r="HV226" s="224"/>
      <c r="HW226" s="224"/>
      <c r="HX226" s="224"/>
      <c r="HY226" s="224"/>
      <c r="HZ226" s="224"/>
      <c r="IA226" s="224"/>
      <c r="IB226" s="224"/>
      <c r="IC226" s="224"/>
      <c r="ID226" s="224"/>
      <c r="IE226" s="224"/>
      <c r="IF226" s="224"/>
      <c r="IG226" s="224"/>
      <c r="IH226" s="224"/>
      <c r="II226" s="224"/>
      <c r="IJ226" s="224"/>
      <c r="IK226" s="224"/>
      <c r="IL226" s="224"/>
      <c r="IM226" s="224"/>
      <c r="IN226" s="224"/>
      <c r="IO226" s="224"/>
      <c r="IP226" s="224"/>
      <c r="IQ226" s="224"/>
      <c r="IR226" s="224"/>
      <c r="IS226" s="224"/>
      <c r="IT226" s="224"/>
      <c r="IU226" s="224"/>
      <c r="IV226" s="224"/>
    </row>
    <row r="227" spans="1:256" ht="21.75" customHeight="1">
      <c r="A227" s="220" t="s">
        <v>228</v>
      </c>
      <c r="B227" s="221"/>
      <c r="C227" s="9" t="s">
        <v>229</v>
      </c>
      <c r="D227" s="219"/>
      <c r="E227" s="219"/>
      <c r="F227" s="219"/>
      <c r="G227" s="219"/>
      <c r="H227" s="219"/>
      <c r="I227" s="219"/>
      <c r="J227" s="219"/>
      <c r="K227" s="222"/>
      <c r="L227" s="222"/>
      <c r="M227" s="223"/>
      <c r="N227" s="223"/>
      <c r="O227" s="223"/>
      <c r="P227" s="223"/>
      <c r="Q227" s="223"/>
      <c r="R227" s="224"/>
      <c r="S227" s="224"/>
      <c r="T227" s="224"/>
      <c r="U227" s="224"/>
      <c r="V227" s="224"/>
      <c r="W227" s="224"/>
      <c r="X227" s="224"/>
      <c r="Y227" s="224"/>
      <c r="Z227" s="224"/>
      <c r="AA227" s="224"/>
      <c r="AB227" s="224"/>
      <c r="AC227" s="224"/>
      <c r="AD227" s="224"/>
      <c r="AE227" s="224"/>
      <c r="AF227" s="224"/>
      <c r="AG227" s="224"/>
      <c r="AH227" s="224"/>
      <c r="AI227" s="224"/>
      <c r="AJ227" s="224"/>
      <c r="AK227" s="224"/>
      <c r="AL227" s="224"/>
      <c r="AM227" s="224"/>
      <c r="AN227" s="224"/>
      <c r="AO227" s="224"/>
      <c r="AP227" s="224"/>
      <c r="AQ227" s="224"/>
      <c r="AR227" s="224"/>
      <c r="AS227" s="224"/>
      <c r="AT227" s="224"/>
      <c r="AU227" s="224"/>
      <c r="AV227" s="224"/>
      <c r="AW227" s="224"/>
      <c r="AX227" s="224"/>
      <c r="AY227" s="224"/>
      <c r="AZ227" s="224"/>
      <c r="BA227" s="224"/>
      <c r="BB227" s="224"/>
      <c r="BC227" s="224"/>
      <c r="BD227" s="224"/>
      <c r="BE227" s="224"/>
      <c r="BF227" s="224"/>
      <c r="BG227" s="224"/>
      <c r="BH227" s="224"/>
      <c r="BI227" s="224"/>
      <c r="BJ227" s="224"/>
      <c r="BK227" s="224"/>
      <c r="BL227" s="224"/>
      <c r="BM227" s="224"/>
      <c r="BN227" s="224"/>
      <c r="BO227" s="224"/>
      <c r="BP227" s="224"/>
      <c r="BQ227" s="224"/>
      <c r="BR227" s="224"/>
      <c r="BS227" s="224"/>
      <c r="BT227" s="224"/>
      <c r="BU227" s="224"/>
      <c r="BV227" s="224"/>
      <c r="BW227" s="224"/>
      <c r="BX227" s="224"/>
      <c r="BY227" s="224"/>
      <c r="BZ227" s="224"/>
      <c r="CA227" s="224"/>
      <c r="CB227" s="224"/>
      <c r="CC227" s="224"/>
      <c r="CD227" s="224"/>
      <c r="CE227" s="224"/>
      <c r="CF227" s="224"/>
      <c r="CG227" s="224"/>
      <c r="CH227" s="224"/>
      <c r="CI227" s="224"/>
      <c r="CJ227" s="224"/>
      <c r="CK227" s="224"/>
      <c r="CL227" s="224"/>
      <c r="CM227" s="224"/>
      <c r="CN227" s="224"/>
      <c r="CO227" s="224"/>
      <c r="CP227" s="224"/>
      <c r="CQ227" s="224"/>
      <c r="CR227" s="224"/>
      <c r="CS227" s="224"/>
      <c r="CT227" s="224"/>
      <c r="CU227" s="224"/>
      <c r="CV227" s="224"/>
      <c r="CW227" s="224"/>
      <c r="CX227" s="224"/>
      <c r="CY227" s="224"/>
      <c r="CZ227" s="224"/>
      <c r="DA227" s="224"/>
      <c r="DB227" s="224"/>
      <c r="DC227" s="224"/>
      <c r="DD227" s="224"/>
      <c r="DE227" s="224"/>
      <c r="DF227" s="224"/>
      <c r="DG227" s="224"/>
      <c r="DH227" s="224"/>
      <c r="DI227" s="224"/>
      <c r="DJ227" s="224"/>
      <c r="DK227" s="224"/>
      <c r="DL227" s="224"/>
      <c r="DM227" s="224"/>
      <c r="DN227" s="224"/>
      <c r="DO227" s="224"/>
      <c r="DP227" s="224"/>
      <c r="DQ227" s="224"/>
      <c r="DR227" s="224"/>
      <c r="DS227" s="224"/>
      <c r="DT227" s="224"/>
      <c r="DU227" s="224"/>
      <c r="DV227" s="224"/>
      <c r="DW227" s="224"/>
      <c r="DX227" s="224"/>
      <c r="DY227" s="224"/>
      <c r="DZ227" s="224"/>
      <c r="EA227" s="224"/>
      <c r="EB227" s="224"/>
      <c r="EC227" s="224"/>
      <c r="ED227" s="224"/>
      <c r="EE227" s="224"/>
      <c r="EF227" s="224"/>
      <c r="EG227" s="224"/>
      <c r="EH227" s="224"/>
      <c r="EI227" s="224"/>
      <c r="EJ227" s="224"/>
      <c r="EK227" s="224"/>
      <c r="EL227" s="224"/>
      <c r="EM227" s="224"/>
      <c r="EN227" s="224"/>
      <c r="EO227" s="224"/>
      <c r="EP227" s="224"/>
      <c r="EQ227" s="224"/>
      <c r="ER227" s="224"/>
      <c r="ES227" s="224"/>
      <c r="ET227" s="224"/>
      <c r="EU227" s="224"/>
      <c r="EV227" s="224"/>
      <c r="EW227" s="224"/>
      <c r="EX227" s="224"/>
      <c r="EY227" s="224"/>
      <c r="EZ227" s="224"/>
      <c r="FA227" s="224"/>
      <c r="FB227" s="224"/>
      <c r="FC227" s="224"/>
      <c r="FD227" s="224"/>
      <c r="FE227" s="224"/>
      <c r="FF227" s="224"/>
      <c r="FG227" s="224"/>
      <c r="FH227" s="224"/>
      <c r="FI227" s="224"/>
      <c r="FJ227" s="224"/>
      <c r="FK227" s="224"/>
      <c r="FL227" s="224"/>
      <c r="FM227" s="224"/>
      <c r="FN227" s="224"/>
      <c r="FO227" s="224"/>
      <c r="FP227" s="224"/>
      <c r="FQ227" s="224"/>
      <c r="FR227" s="224"/>
      <c r="FS227" s="224"/>
      <c r="FT227" s="224"/>
      <c r="FU227" s="224"/>
      <c r="FV227" s="224"/>
      <c r="FW227" s="224"/>
      <c r="FX227" s="224"/>
      <c r="FY227" s="224"/>
      <c r="FZ227" s="224"/>
      <c r="GA227" s="224"/>
      <c r="GB227" s="224"/>
      <c r="GC227" s="224"/>
      <c r="GD227" s="224"/>
      <c r="GE227" s="224"/>
      <c r="GF227" s="224"/>
      <c r="GG227" s="224"/>
      <c r="GH227" s="224"/>
      <c r="GI227" s="224"/>
      <c r="GJ227" s="224"/>
      <c r="GK227" s="224"/>
      <c r="GL227" s="224"/>
      <c r="GM227" s="224"/>
      <c r="GN227" s="224"/>
      <c r="GO227" s="224"/>
      <c r="GP227" s="224"/>
      <c r="GQ227" s="224"/>
      <c r="GR227" s="224"/>
      <c r="GS227" s="224"/>
      <c r="GT227" s="224"/>
      <c r="GU227" s="224"/>
      <c r="GV227" s="224"/>
      <c r="GW227" s="224"/>
      <c r="GX227" s="224"/>
      <c r="GY227" s="224"/>
      <c r="GZ227" s="224"/>
      <c r="HA227" s="224"/>
      <c r="HB227" s="224"/>
      <c r="HC227" s="224"/>
      <c r="HD227" s="224"/>
      <c r="HE227" s="224"/>
      <c r="HF227" s="224"/>
      <c r="HG227" s="224"/>
      <c r="HH227" s="224"/>
      <c r="HI227" s="224"/>
      <c r="HJ227" s="224"/>
      <c r="HK227" s="224"/>
      <c r="HL227" s="224"/>
      <c r="HM227" s="224"/>
      <c r="HN227" s="224"/>
      <c r="HO227" s="224"/>
      <c r="HP227" s="224"/>
      <c r="HQ227" s="224"/>
      <c r="HR227" s="224"/>
      <c r="HS227" s="224"/>
      <c r="HT227" s="224"/>
      <c r="HU227" s="224"/>
      <c r="HV227" s="224"/>
      <c r="HW227" s="224"/>
      <c r="HX227" s="224"/>
      <c r="HY227" s="224"/>
      <c r="HZ227" s="224"/>
      <c r="IA227" s="224"/>
      <c r="IB227" s="224"/>
      <c r="IC227" s="224"/>
      <c r="ID227" s="224"/>
      <c r="IE227" s="224"/>
      <c r="IF227" s="224"/>
      <c r="IG227" s="224"/>
      <c r="IH227" s="224"/>
      <c r="II227" s="224"/>
      <c r="IJ227" s="224"/>
      <c r="IK227" s="224"/>
      <c r="IL227" s="224"/>
      <c r="IM227" s="224"/>
      <c r="IN227" s="224"/>
      <c r="IO227" s="224"/>
      <c r="IP227" s="224"/>
      <c r="IQ227" s="224"/>
      <c r="IR227" s="224"/>
      <c r="IS227" s="224"/>
      <c r="IT227" s="224"/>
      <c r="IU227" s="224"/>
      <c r="IV227" s="224"/>
    </row>
    <row r="228" spans="1:256">
      <c r="A228" s="211" t="s">
        <v>230</v>
      </c>
      <c r="B228" s="212"/>
      <c r="C228" s="215" t="s">
        <v>231</v>
      </c>
      <c r="D228" s="212"/>
      <c r="E228" s="212"/>
      <c r="F228" s="212"/>
      <c r="G228" s="212"/>
      <c r="H228" s="212"/>
      <c r="I228" s="212"/>
      <c r="J228" s="212"/>
      <c r="K228" s="213"/>
      <c r="L228" s="213"/>
      <c r="M228" s="37"/>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row>
    <row r="229" spans="1:256" ht="19.5" customHeight="1">
      <c r="A229" s="211"/>
      <c r="B229" s="212"/>
      <c r="C229" s="215" t="s">
        <v>232</v>
      </c>
      <c r="D229" s="212"/>
      <c r="E229" s="212"/>
      <c r="F229" s="212"/>
      <c r="G229" s="212"/>
      <c r="H229" s="212"/>
      <c r="I229" s="212"/>
      <c r="J229" s="212"/>
      <c r="K229" s="213"/>
      <c r="L229" s="213"/>
      <c r="M229" s="37"/>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row>
    <row r="230" spans="1:256" ht="21.2" customHeight="1">
      <c r="A230" s="211" t="s">
        <v>233</v>
      </c>
      <c r="B230" s="212"/>
      <c r="C230" s="225" t="s">
        <v>163</v>
      </c>
      <c r="D230" s="215"/>
      <c r="E230" s="215"/>
      <c r="F230" s="215"/>
      <c r="G230" s="215"/>
      <c r="H230" s="215"/>
      <c r="I230" s="215"/>
      <c r="J230" s="215"/>
      <c r="K230" s="226"/>
      <c r="L230" s="226"/>
      <c r="M230" s="37"/>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row>
    <row r="231" spans="1:256" ht="19.5" customHeight="1">
      <c r="A231" s="227" t="s">
        <v>234</v>
      </c>
      <c r="B231" s="225"/>
      <c r="C231" s="215" t="s">
        <v>235</v>
      </c>
      <c r="D231" s="215"/>
      <c r="E231" s="215"/>
      <c r="F231" s="215"/>
      <c r="G231" s="215"/>
      <c r="H231" s="215"/>
      <c r="I231" s="215"/>
      <c r="J231" s="215"/>
      <c r="K231" s="226"/>
      <c r="L231" s="226"/>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row>
    <row r="232" spans="1:256" ht="19.5" customHeight="1">
      <c r="A232" s="227" t="s">
        <v>236</v>
      </c>
      <c r="B232" s="225"/>
      <c r="C232" s="215" t="s">
        <v>237</v>
      </c>
      <c r="D232" s="215"/>
      <c r="E232" s="215"/>
      <c r="F232" s="215"/>
      <c r="G232" s="215"/>
      <c r="H232" s="215"/>
      <c r="I232" s="215"/>
      <c r="J232" s="215"/>
      <c r="K232" s="226"/>
      <c r="L232" s="226"/>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row>
    <row r="233" spans="1:256" ht="15.75" customHeight="1">
      <c r="A233" s="227" t="s">
        <v>238</v>
      </c>
      <c r="B233" s="225"/>
      <c r="C233" s="1018" t="s">
        <v>163</v>
      </c>
      <c r="D233" s="1018"/>
      <c r="E233" s="1018"/>
      <c r="F233" s="1018"/>
      <c r="G233" s="1018"/>
      <c r="H233" s="1018"/>
      <c r="I233" s="1018"/>
      <c r="J233" s="1018"/>
      <c r="K233" s="1018"/>
      <c r="L233" s="1018"/>
      <c r="N233" s="161"/>
      <c r="O233" s="161"/>
      <c r="P233" s="161"/>
      <c r="Q233" s="161"/>
    </row>
    <row r="234" spans="1:256" ht="54.75" customHeight="1">
      <c r="A234" s="227" t="s">
        <v>239</v>
      </c>
      <c r="B234" s="225"/>
      <c r="C234" s="1017" t="s">
        <v>240</v>
      </c>
      <c r="D234" s="1017"/>
      <c r="E234" s="1017"/>
      <c r="F234" s="1017"/>
      <c r="G234" s="1017"/>
      <c r="H234" s="1017"/>
      <c r="I234" s="1017"/>
      <c r="J234" s="1017"/>
      <c r="K234" s="1017"/>
      <c r="L234" s="1017"/>
      <c r="N234" s="161"/>
      <c r="O234" s="161"/>
      <c r="P234" s="161"/>
      <c r="Q234" s="161"/>
    </row>
    <row r="235" spans="1:256" ht="33" customHeight="1">
      <c r="A235" s="227" t="s">
        <v>241</v>
      </c>
      <c r="B235" s="225"/>
      <c r="C235" s="1017" t="s">
        <v>242</v>
      </c>
      <c r="D235" s="1017"/>
      <c r="E235" s="1017"/>
      <c r="F235" s="1017"/>
      <c r="G235" s="1017"/>
      <c r="H235" s="1017"/>
      <c r="I235" s="1017"/>
      <c r="J235" s="1017"/>
      <c r="K235" s="1017"/>
      <c r="L235" s="1017"/>
      <c r="N235" s="161"/>
      <c r="O235" s="161"/>
      <c r="P235" s="161"/>
      <c r="Q235" s="161"/>
    </row>
    <row r="236" spans="1:256" ht="83.25" customHeight="1">
      <c r="A236" s="227" t="s">
        <v>243</v>
      </c>
      <c r="B236" s="225"/>
      <c r="C236" s="1017" t="s">
        <v>244</v>
      </c>
      <c r="D236" s="1017"/>
      <c r="E236" s="1017"/>
      <c r="F236" s="1017"/>
      <c r="G236" s="1017"/>
      <c r="H236" s="1017"/>
      <c r="I236" s="1017"/>
      <c r="J236" s="1017"/>
      <c r="K236" s="1017"/>
      <c r="L236" s="1017"/>
      <c r="N236" s="161"/>
      <c r="O236" s="161"/>
      <c r="P236" s="161"/>
      <c r="Q236" s="161"/>
    </row>
    <row r="237" spans="1:256" ht="21.75" customHeight="1">
      <c r="N237" s="161"/>
      <c r="O237" s="161"/>
      <c r="P237" s="161"/>
      <c r="Q237" s="161"/>
    </row>
    <row r="238" spans="1:256">
      <c r="C238" s="228"/>
      <c r="D238" s="228"/>
      <c r="E238" s="229"/>
      <c r="F238" s="229"/>
      <c r="G238" s="228"/>
      <c r="H238" s="228"/>
      <c r="N238" s="161"/>
      <c r="O238" s="161"/>
      <c r="P238" s="161"/>
      <c r="Q238" s="161"/>
    </row>
    <row r="239" spans="1:256">
      <c r="C239" s="228"/>
      <c r="D239" s="228"/>
      <c r="E239" s="229"/>
      <c r="F239" s="229"/>
      <c r="G239" s="228"/>
      <c r="H239" s="230"/>
      <c r="N239" s="161"/>
      <c r="O239" s="161"/>
      <c r="P239" s="161"/>
      <c r="Q239" s="161"/>
    </row>
    <row r="240" spans="1:256">
      <c r="C240" s="228"/>
      <c r="D240" s="228"/>
      <c r="E240" s="229"/>
      <c r="F240" s="229"/>
      <c r="G240" s="228"/>
      <c r="H240" s="231"/>
      <c r="N240" s="161"/>
      <c r="O240" s="161"/>
      <c r="P240" s="161"/>
      <c r="Q240" s="161"/>
    </row>
    <row r="241" spans="3:17">
      <c r="C241" s="228"/>
      <c r="D241" s="228"/>
      <c r="E241" s="229"/>
      <c r="F241" s="229"/>
      <c r="G241" s="228"/>
      <c r="H241" s="232"/>
      <c r="N241" s="161"/>
      <c r="O241" s="161"/>
      <c r="P241" s="161"/>
      <c r="Q241" s="161"/>
    </row>
    <row r="242" spans="3:17">
      <c r="N242" s="161"/>
      <c r="O242" s="161"/>
      <c r="P242" s="161"/>
      <c r="Q242" s="161"/>
    </row>
    <row r="243" spans="3:17">
      <c r="N243" s="161"/>
      <c r="O243" s="161"/>
      <c r="P243" s="161"/>
      <c r="Q243" s="161"/>
    </row>
    <row r="244" spans="3:17">
      <c r="N244" s="161"/>
      <c r="O244" s="161"/>
      <c r="P244" s="161"/>
      <c r="Q244" s="161"/>
    </row>
    <row r="245" spans="3:17">
      <c r="N245" s="161"/>
      <c r="O245" s="161"/>
      <c r="P245" s="161"/>
      <c r="Q245" s="161"/>
    </row>
    <row r="246" spans="3:17">
      <c r="N246" s="161"/>
      <c r="O246" s="161"/>
      <c r="P246" s="161"/>
      <c r="Q246" s="161"/>
    </row>
    <row r="247" spans="3:17">
      <c r="N247" s="161"/>
      <c r="O247" s="161"/>
      <c r="P247" s="161"/>
      <c r="Q247" s="161"/>
    </row>
    <row r="248" spans="3:17">
      <c r="N248" s="161"/>
      <c r="O248" s="161"/>
      <c r="P248" s="161"/>
      <c r="Q248" s="161"/>
    </row>
    <row r="249" spans="3:17">
      <c r="N249" s="161"/>
      <c r="O249" s="161"/>
      <c r="P249" s="161"/>
      <c r="Q249" s="161"/>
    </row>
    <row r="250" spans="3:17">
      <c r="N250" s="161"/>
      <c r="O250" s="161"/>
      <c r="P250" s="161"/>
      <c r="Q250" s="161"/>
    </row>
    <row r="251" spans="3:17">
      <c r="N251" s="161"/>
      <c r="O251" s="161"/>
      <c r="P251" s="161"/>
      <c r="Q251" s="161"/>
    </row>
    <row r="252" spans="3:17">
      <c r="N252" s="161"/>
      <c r="O252" s="161"/>
      <c r="P252" s="161"/>
      <c r="Q252" s="161"/>
    </row>
    <row r="253" spans="3:17">
      <c r="N253" s="161"/>
      <c r="O253" s="161"/>
      <c r="P253" s="161"/>
      <c r="Q253" s="161"/>
    </row>
    <row r="254" spans="3:17">
      <c r="N254" s="161"/>
      <c r="O254" s="161"/>
      <c r="P254" s="161"/>
      <c r="Q254" s="161"/>
    </row>
    <row r="255" spans="3:17">
      <c r="N255" s="161"/>
      <c r="O255" s="161"/>
      <c r="P255" s="161"/>
      <c r="Q255" s="161"/>
    </row>
    <row r="256" spans="3:17">
      <c r="N256" s="161"/>
      <c r="O256" s="161"/>
      <c r="P256" s="161"/>
      <c r="Q256" s="161"/>
    </row>
    <row r="257" spans="14:17">
      <c r="N257" s="161"/>
      <c r="O257" s="161"/>
      <c r="P257" s="161"/>
      <c r="Q257" s="161"/>
    </row>
    <row r="258" spans="14:17">
      <c r="N258" s="161"/>
      <c r="O258" s="161"/>
      <c r="P258" s="161"/>
      <c r="Q258" s="161"/>
    </row>
    <row r="259" spans="14:17">
      <c r="N259" s="161"/>
      <c r="O259" s="161"/>
      <c r="P259" s="161"/>
      <c r="Q259" s="161"/>
    </row>
    <row r="260" spans="14:17">
      <c r="N260" s="161"/>
      <c r="O260" s="161"/>
      <c r="P260" s="161"/>
      <c r="Q260" s="161"/>
    </row>
    <row r="261" spans="14:17">
      <c r="N261" s="161"/>
      <c r="O261" s="161"/>
      <c r="P261" s="161"/>
      <c r="Q261" s="161"/>
    </row>
    <row r="262" spans="14:17">
      <c r="N262" s="161"/>
      <c r="O262" s="161"/>
      <c r="P262" s="161"/>
      <c r="Q262" s="161"/>
    </row>
    <row r="263" spans="14:17">
      <c r="N263" s="161"/>
      <c r="O263" s="161"/>
      <c r="P263" s="161"/>
      <c r="Q263" s="161"/>
    </row>
    <row r="264" spans="14:17">
      <c r="N264" s="161"/>
      <c r="O264" s="161"/>
      <c r="P264" s="161"/>
      <c r="Q264" s="161"/>
    </row>
    <row r="265" spans="14:17">
      <c r="N265" s="161"/>
      <c r="O265" s="161"/>
      <c r="P265" s="161"/>
      <c r="Q265" s="161"/>
    </row>
    <row r="266" spans="14:17">
      <c r="N266" s="161"/>
      <c r="O266" s="161"/>
      <c r="P266" s="161"/>
      <c r="Q266" s="161"/>
    </row>
    <row r="267" spans="14:17">
      <c r="N267" s="161"/>
      <c r="O267" s="161"/>
      <c r="P267" s="161"/>
      <c r="Q267" s="161"/>
    </row>
    <row r="268" spans="14:17">
      <c r="N268" s="161"/>
      <c r="O268" s="161"/>
      <c r="P268" s="161"/>
      <c r="Q268" s="161"/>
    </row>
    <row r="269" spans="14:17">
      <c r="N269" s="161"/>
      <c r="O269" s="161"/>
      <c r="P269" s="161"/>
      <c r="Q269" s="161"/>
    </row>
    <row r="270" spans="14:17">
      <c r="N270" s="161"/>
      <c r="O270" s="161"/>
      <c r="P270" s="161"/>
      <c r="Q270" s="161"/>
    </row>
    <row r="271" spans="14:17">
      <c r="N271" s="161"/>
      <c r="O271" s="161"/>
      <c r="P271" s="161"/>
      <c r="Q271" s="161"/>
    </row>
    <row r="272" spans="14:17">
      <c r="N272" s="161"/>
      <c r="O272" s="161"/>
      <c r="P272" s="161"/>
      <c r="Q272" s="161"/>
    </row>
    <row r="273" spans="14:17">
      <c r="N273" s="161"/>
      <c r="O273" s="161"/>
      <c r="P273" s="161"/>
      <c r="Q273" s="161"/>
    </row>
    <row r="274" spans="14:17">
      <c r="N274" s="161"/>
      <c r="O274" s="161"/>
      <c r="P274" s="161"/>
      <c r="Q274" s="161"/>
    </row>
    <row r="275" spans="14:17">
      <c r="N275" s="161"/>
      <c r="O275" s="161"/>
      <c r="P275" s="161"/>
      <c r="Q275" s="161"/>
    </row>
    <row r="276" spans="14:17">
      <c r="N276" s="161"/>
      <c r="O276" s="161"/>
      <c r="P276" s="161"/>
      <c r="Q276" s="161"/>
    </row>
    <row r="277" spans="14:17">
      <c r="N277" s="161"/>
      <c r="O277" s="161"/>
      <c r="P277" s="161"/>
      <c r="Q277" s="161"/>
    </row>
    <row r="278" spans="14:17">
      <c r="N278" s="161"/>
      <c r="O278" s="161"/>
      <c r="P278" s="161"/>
      <c r="Q278" s="161"/>
    </row>
    <row r="279" spans="14:17">
      <c r="N279" s="161"/>
      <c r="O279" s="161"/>
      <c r="P279" s="161"/>
      <c r="Q279" s="161"/>
    </row>
    <row r="280" spans="14:17">
      <c r="N280" s="161"/>
      <c r="O280" s="161"/>
      <c r="P280" s="161"/>
      <c r="Q280" s="161"/>
    </row>
    <row r="281" spans="14:17">
      <c r="N281" s="161"/>
      <c r="O281" s="161"/>
      <c r="P281" s="161"/>
      <c r="Q281" s="161"/>
    </row>
    <row r="282" spans="14:17">
      <c r="N282" s="161"/>
      <c r="O282" s="161"/>
      <c r="P282" s="161"/>
      <c r="Q282" s="161"/>
    </row>
    <row r="283" spans="14:17">
      <c r="N283" s="161"/>
      <c r="O283" s="161"/>
      <c r="P283" s="161"/>
      <c r="Q283" s="161"/>
    </row>
    <row r="284" spans="14:17">
      <c r="N284" s="161"/>
      <c r="O284" s="161"/>
      <c r="P284" s="161"/>
      <c r="Q284" s="161"/>
    </row>
    <row r="285" spans="14:17">
      <c r="N285" s="161"/>
      <c r="O285" s="161"/>
      <c r="P285" s="161"/>
      <c r="Q285" s="161"/>
    </row>
    <row r="286" spans="14:17">
      <c r="N286" s="161"/>
      <c r="O286" s="161"/>
      <c r="P286" s="161"/>
      <c r="Q286" s="161"/>
    </row>
    <row r="287" spans="14:17">
      <c r="N287" s="161"/>
      <c r="O287" s="161"/>
      <c r="P287" s="161"/>
      <c r="Q287" s="161"/>
    </row>
    <row r="288" spans="14:17">
      <c r="N288" s="161"/>
      <c r="O288" s="161"/>
      <c r="P288" s="161"/>
      <c r="Q288" s="161"/>
    </row>
    <row r="289" spans="14:17">
      <c r="N289" s="161"/>
      <c r="O289" s="161"/>
      <c r="P289" s="161"/>
      <c r="Q289" s="161"/>
    </row>
    <row r="290" spans="14:17">
      <c r="N290" s="161"/>
      <c r="O290" s="161"/>
      <c r="P290" s="161"/>
      <c r="Q290" s="161"/>
    </row>
    <row r="291" spans="14:17">
      <c r="N291" s="161"/>
      <c r="O291" s="161"/>
      <c r="P291" s="161"/>
      <c r="Q291" s="161"/>
    </row>
    <row r="292" spans="14:17">
      <c r="N292" s="161"/>
      <c r="O292" s="161"/>
      <c r="P292" s="161"/>
      <c r="Q292" s="161"/>
    </row>
    <row r="293" spans="14:17">
      <c r="N293" s="161"/>
      <c r="O293" s="161"/>
      <c r="P293" s="161"/>
      <c r="Q293" s="161"/>
    </row>
    <row r="294" spans="14:17">
      <c r="N294" s="161"/>
      <c r="O294" s="161"/>
      <c r="P294" s="161"/>
      <c r="Q294" s="161"/>
    </row>
    <row r="295" spans="14:17">
      <c r="N295" s="161"/>
      <c r="O295" s="161"/>
      <c r="P295" s="161"/>
      <c r="Q295" s="161"/>
    </row>
    <row r="296" spans="14:17">
      <c r="N296" s="161"/>
      <c r="O296" s="161"/>
      <c r="P296" s="161"/>
      <c r="Q296" s="161"/>
    </row>
    <row r="297" spans="14:17">
      <c r="N297" s="161"/>
      <c r="O297" s="161"/>
      <c r="P297" s="161"/>
      <c r="Q297" s="161"/>
    </row>
    <row r="298" spans="14:17">
      <c r="N298" s="161"/>
      <c r="O298" s="161"/>
      <c r="P298" s="161"/>
      <c r="Q298" s="161"/>
    </row>
    <row r="299" spans="14:17">
      <c r="N299" s="161"/>
      <c r="O299" s="161"/>
      <c r="P299" s="161"/>
      <c r="Q299" s="161"/>
    </row>
    <row r="300" spans="14:17">
      <c r="N300" s="161"/>
      <c r="O300" s="161"/>
      <c r="P300" s="161"/>
      <c r="Q300" s="161"/>
    </row>
    <row r="301" spans="14:17">
      <c r="N301" s="161"/>
      <c r="O301" s="161"/>
      <c r="P301" s="161"/>
      <c r="Q301" s="161"/>
    </row>
    <row r="302" spans="14:17">
      <c r="N302" s="161"/>
      <c r="O302" s="161"/>
      <c r="P302" s="161"/>
      <c r="Q302" s="161"/>
    </row>
    <row r="303" spans="14:17">
      <c r="N303" s="161"/>
      <c r="O303" s="161"/>
      <c r="P303" s="161"/>
      <c r="Q303" s="161"/>
    </row>
    <row r="304" spans="14:17">
      <c r="N304" s="161"/>
      <c r="O304" s="161"/>
      <c r="P304" s="161"/>
      <c r="Q304" s="161"/>
    </row>
    <row r="305" spans="14:17">
      <c r="N305" s="161"/>
      <c r="O305" s="161"/>
      <c r="P305" s="161"/>
      <c r="Q305" s="161"/>
    </row>
    <row r="306" spans="14:17">
      <c r="N306" s="161"/>
      <c r="O306" s="161"/>
      <c r="P306" s="161"/>
      <c r="Q306" s="161"/>
    </row>
    <row r="307" spans="14:17">
      <c r="N307" s="161"/>
      <c r="O307" s="161"/>
      <c r="P307" s="161"/>
      <c r="Q307" s="161"/>
    </row>
    <row r="308" spans="14:17">
      <c r="N308" s="161"/>
      <c r="O308" s="161"/>
      <c r="P308" s="161"/>
      <c r="Q308" s="161"/>
    </row>
    <row r="309" spans="14:17">
      <c r="N309" s="161"/>
      <c r="O309" s="161"/>
      <c r="P309" s="161"/>
      <c r="Q309" s="161"/>
    </row>
    <row r="310" spans="14:17">
      <c r="N310" s="161"/>
      <c r="O310" s="161"/>
      <c r="P310" s="161"/>
      <c r="Q310" s="161"/>
    </row>
    <row r="311" spans="14:17">
      <c r="N311" s="161"/>
      <c r="O311" s="161"/>
      <c r="P311" s="161"/>
      <c r="Q311" s="161"/>
    </row>
    <row r="312" spans="14:17">
      <c r="N312" s="161"/>
      <c r="O312" s="161"/>
      <c r="P312" s="161"/>
      <c r="Q312" s="161"/>
    </row>
    <row r="313" spans="14:17">
      <c r="N313" s="161"/>
      <c r="O313" s="161"/>
      <c r="P313" s="161"/>
      <c r="Q313" s="161"/>
    </row>
    <row r="314" spans="14:17">
      <c r="N314" s="161"/>
      <c r="O314" s="161"/>
      <c r="P314" s="161"/>
      <c r="Q314" s="161"/>
    </row>
    <row r="315" spans="14:17">
      <c r="N315" s="161"/>
      <c r="O315" s="161"/>
      <c r="P315" s="161"/>
      <c r="Q315" s="161"/>
    </row>
    <row r="316" spans="14:17">
      <c r="N316" s="161"/>
      <c r="O316" s="161"/>
      <c r="P316" s="161"/>
      <c r="Q316" s="161"/>
    </row>
    <row r="317" spans="14:17">
      <c r="N317" s="161"/>
      <c r="O317" s="161"/>
      <c r="P317" s="161"/>
      <c r="Q317" s="161"/>
    </row>
    <row r="318" spans="14:17">
      <c r="N318" s="161"/>
      <c r="O318" s="161"/>
      <c r="P318" s="161"/>
      <c r="Q318" s="161"/>
    </row>
    <row r="319" spans="14:17">
      <c r="N319" s="161"/>
      <c r="O319" s="161"/>
      <c r="P319" s="161"/>
      <c r="Q319" s="161"/>
    </row>
    <row r="320" spans="14:17">
      <c r="N320" s="161"/>
      <c r="O320" s="161"/>
      <c r="P320" s="161"/>
      <c r="Q320" s="161"/>
    </row>
    <row r="321" spans="14:17">
      <c r="N321" s="161"/>
      <c r="O321" s="161"/>
      <c r="P321" s="161"/>
      <c r="Q321" s="161"/>
    </row>
    <row r="322" spans="14:17">
      <c r="N322" s="161"/>
      <c r="O322" s="161"/>
      <c r="P322" s="161"/>
      <c r="Q322" s="161"/>
    </row>
    <row r="323" spans="14:17">
      <c r="N323" s="161"/>
      <c r="O323" s="161"/>
      <c r="P323" s="161"/>
      <c r="Q323" s="161"/>
    </row>
    <row r="324" spans="14:17">
      <c r="N324" s="161"/>
      <c r="O324" s="161"/>
      <c r="P324" s="161"/>
      <c r="Q324" s="161"/>
    </row>
    <row r="325" spans="14:17">
      <c r="N325" s="161"/>
      <c r="O325" s="161"/>
      <c r="P325" s="161"/>
      <c r="Q325" s="161"/>
    </row>
    <row r="326" spans="14:17">
      <c r="N326" s="161"/>
      <c r="O326" s="161"/>
      <c r="P326" s="161"/>
      <c r="Q326" s="161"/>
    </row>
    <row r="327" spans="14:17">
      <c r="N327" s="161"/>
      <c r="O327" s="161"/>
      <c r="P327" s="161"/>
      <c r="Q327" s="161"/>
    </row>
    <row r="328" spans="14:17">
      <c r="N328" s="161"/>
      <c r="O328" s="161"/>
      <c r="P328" s="161"/>
      <c r="Q328" s="161"/>
    </row>
    <row r="329" spans="14:17">
      <c r="N329" s="161"/>
      <c r="O329" s="161"/>
      <c r="P329" s="161"/>
      <c r="Q329" s="161"/>
    </row>
    <row r="330" spans="14:17">
      <c r="N330" s="161"/>
      <c r="O330" s="161"/>
      <c r="P330" s="161"/>
      <c r="Q330" s="161"/>
    </row>
    <row r="331" spans="14:17">
      <c r="N331" s="161"/>
      <c r="O331" s="161"/>
      <c r="P331" s="161"/>
      <c r="Q331" s="161"/>
    </row>
    <row r="332" spans="14:17">
      <c r="N332" s="161"/>
      <c r="O332" s="161"/>
      <c r="P332" s="161"/>
      <c r="Q332" s="161"/>
    </row>
    <row r="333" spans="14:17">
      <c r="N333" s="161"/>
      <c r="O333" s="161"/>
      <c r="P333" s="161"/>
      <c r="Q333" s="161"/>
    </row>
    <row r="334" spans="14:17">
      <c r="N334" s="161"/>
      <c r="O334" s="161"/>
      <c r="P334" s="161"/>
      <c r="Q334" s="161"/>
    </row>
    <row r="335" spans="14:17">
      <c r="N335" s="161"/>
      <c r="O335" s="161"/>
      <c r="P335" s="161"/>
      <c r="Q335" s="161"/>
    </row>
    <row r="336" spans="14:17">
      <c r="N336" s="161"/>
      <c r="O336" s="161"/>
      <c r="P336" s="161"/>
      <c r="Q336" s="161"/>
    </row>
    <row r="337" spans="14:17">
      <c r="N337" s="161"/>
      <c r="O337" s="161"/>
      <c r="P337" s="161"/>
      <c r="Q337" s="161"/>
    </row>
    <row r="338" spans="14:17">
      <c r="N338" s="161"/>
      <c r="O338" s="161"/>
      <c r="P338" s="161"/>
      <c r="Q338" s="161"/>
    </row>
    <row r="339" spans="14:17">
      <c r="N339" s="161"/>
      <c r="O339" s="161"/>
      <c r="P339" s="161"/>
      <c r="Q339" s="161"/>
    </row>
    <row r="340" spans="14:17">
      <c r="N340" s="161"/>
      <c r="O340" s="161"/>
      <c r="P340" s="161"/>
      <c r="Q340" s="161"/>
    </row>
    <row r="341" spans="14:17">
      <c r="N341" s="161"/>
      <c r="O341" s="161"/>
      <c r="P341" s="161"/>
      <c r="Q341" s="161"/>
    </row>
    <row r="342" spans="14:17">
      <c r="N342" s="161"/>
      <c r="O342" s="161"/>
      <c r="P342" s="161"/>
      <c r="Q342" s="161"/>
    </row>
    <row r="343" spans="14:17">
      <c r="N343" s="161"/>
      <c r="O343" s="161"/>
      <c r="P343" s="161"/>
      <c r="Q343" s="161"/>
    </row>
    <row r="344" spans="14:17">
      <c r="N344" s="161"/>
      <c r="O344" s="161"/>
      <c r="P344" s="161"/>
      <c r="Q344" s="161"/>
    </row>
    <row r="345" spans="14:17">
      <c r="N345" s="161"/>
      <c r="O345" s="161"/>
      <c r="P345" s="161"/>
      <c r="Q345" s="161"/>
    </row>
    <row r="346" spans="14:17">
      <c r="N346" s="161"/>
      <c r="O346" s="161"/>
      <c r="P346" s="161"/>
      <c r="Q346" s="161"/>
    </row>
    <row r="347" spans="14:17">
      <c r="N347" s="161"/>
      <c r="O347" s="161"/>
      <c r="P347" s="161"/>
      <c r="Q347" s="161"/>
    </row>
    <row r="348" spans="14:17">
      <c r="N348" s="161"/>
      <c r="O348" s="161"/>
      <c r="P348" s="161"/>
      <c r="Q348" s="161"/>
    </row>
    <row r="349" spans="14:17">
      <c r="N349" s="161"/>
      <c r="O349" s="161"/>
      <c r="P349" s="161"/>
      <c r="Q349" s="161"/>
    </row>
    <row r="350" spans="14:17">
      <c r="N350" s="161"/>
      <c r="O350" s="161"/>
      <c r="P350" s="161"/>
      <c r="Q350" s="161"/>
    </row>
    <row r="351" spans="14:17">
      <c r="N351" s="161"/>
      <c r="O351" s="161"/>
      <c r="P351" s="161"/>
      <c r="Q351" s="161"/>
    </row>
    <row r="352" spans="14:17">
      <c r="N352" s="161"/>
      <c r="O352" s="161"/>
      <c r="P352" s="161"/>
      <c r="Q352" s="161"/>
    </row>
    <row r="353" spans="14:17">
      <c r="N353" s="161"/>
      <c r="O353" s="161"/>
      <c r="P353" s="161"/>
      <c r="Q353" s="161"/>
    </row>
    <row r="354" spans="14:17">
      <c r="N354" s="161"/>
      <c r="O354" s="161"/>
      <c r="P354" s="161"/>
      <c r="Q354" s="161"/>
    </row>
    <row r="355" spans="14:17">
      <c r="N355" s="161"/>
      <c r="O355" s="161"/>
      <c r="P355" s="161"/>
      <c r="Q355" s="161"/>
    </row>
    <row r="356" spans="14:17">
      <c r="N356" s="161"/>
      <c r="O356" s="161"/>
      <c r="P356" s="161"/>
      <c r="Q356" s="161"/>
    </row>
    <row r="357" spans="14:17">
      <c r="N357" s="161"/>
      <c r="O357" s="161"/>
      <c r="P357" s="161"/>
      <c r="Q357" s="161"/>
    </row>
    <row r="358" spans="14:17">
      <c r="N358" s="161"/>
      <c r="O358" s="161"/>
      <c r="P358" s="161"/>
      <c r="Q358" s="161"/>
    </row>
    <row r="359" spans="14:17">
      <c r="N359" s="161"/>
      <c r="O359" s="161"/>
      <c r="P359" s="161"/>
      <c r="Q359" s="161"/>
    </row>
    <row r="360" spans="14:17">
      <c r="N360" s="161"/>
      <c r="O360" s="161"/>
      <c r="P360" s="161"/>
      <c r="Q360" s="161"/>
    </row>
    <row r="361" spans="14:17">
      <c r="N361" s="161"/>
      <c r="O361" s="161"/>
      <c r="P361" s="161"/>
      <c r="Q361" s="161"/>
    </row>
    <row r="362" spans="14:17">
      <c r="N362" s="161"/>
      <c r="O362" s="161"/>
      <c r="P362" s="161"/>
      <c r="Q362" s="161"/>
    </row>
    <row r="363" spans="14:17">
      <c r="N363" s="161"/>
      <c r="O363" s="161"/>
      <c r="P363" s="161"/>
      <c r="Q363" s="161"/>
    </row>
    <row r="364" spans="14:17">
      <c r="N364" s="161"/>
      <c r="O364" s="161"/>
      <c r="P364" s="161"/>
      <c r="Q364" s="161"/>
    </row>
    <row r="365" spans="14:17">
      <c r="N365" s="161"/>
      <c r="O365" s="161"/>
      <c r="P365" s="161"/>
      <c r="Q365" s="161"/>
    </row>
    <row r="366" spans="14:17">
      <c r="N366" s="161"/>
      <c r="O366" s="161"/>
      <c r="P366" s="161"/>
      <c r="Q366" s="161"/>
    </row>
    <row r="367" spans="14:17">
      <c r="N367" s="161"/>
      <c r="O367" s="161"/>
      <c r="P367" s="161"/>
      <c r="Q367" s="161"/>
    </row>
    <row r="368" spans="14:17">
      <c r="N368" s="161"/>
      <c r="O368" s="161"/>
      <c r="P368" s="161"/>
      <c r="Q368" s="161"/>
    </row>
    <row r="369" spans="14:17">
      <c r="N369" s="161"/>
      <c r="O369" s="161"/>
      <c r="P369" s="161"/>
      <c r="Q369" s="161"/>
    </row>
    <row r="370" spans="14:17">
      <c r="N370" s="161"/>
      <c r="O370" s="161"/>
      <c r="P370" s="161"/>
      <c r="Q370" s="161"/>
    </row>
    <row r="371" spans="14:17">
      <c r="N371" s="161"/>
      <c r="O371" s="161"/>
      <c r="P371" s="161"/>
      <c r="Q371" s="161"/>
    </row>
    <row r="372" spans="14:17">
      <c r="N372" s="161"/>
      <c r="O372" s="161"/>
      <c r="P372" s="161"/>
      <c r="Q372" s="161"/>
    </row>
    <row r="373" spans="14:17">
      <c r="N373" s="161"/>
      <c r="O373" s="161"/>
      <c r="P373" s="161"/>
      <c r="Q373" s="161"/>
    </row>
    <row r="374" spans="14:17">
      <c r="N374" s="161"/>
      <c r="O374" s="161"/>
      <c r="P374" s="161"/>
      <c r="Q374" s="161"/>
    </row>
    <row r="375" spans="14:17">
      <c r="N375" s="161"/>
      <c r="O375" s="161"/>
      <c r="P375" s="161"/>
      <c r="Q375" s="161"/>
    </row>
    <row r="376" spans="14:17">
      <c r="N376" s="161"/>
      <c r="O376" s="161"/>
      <c r="P376" s="161"/>
      <c r="Q376" s="161"/>
    </row>
    <row r="377" spans="14:17">
      <c r="N377" s="161"/>
      <c r="O377" s="161"/>
      <c r="P377" s="161"/>
      <c r="Q377" s="161"/>
    </row>
    <row r="378" spans="14:17">
      <c r="N378" s="161"/>
      <c r="O378" s="161"/>
      <c r="P378" s="161"/>
      <c r="Q378" s="161"/>
    </row>
    <row r="379" spans="14:17">
      <c r="N379" s="161"/>
      <c r="O379" s="161"/>
      <c r="P379" s="161"/>
      <c r="Q379" s="161"/>
    </row>
    <row r="380" spans="14:17">
      <c r="N380" s="161"/>
      <c r="O380" s="161"/>
      <c r="P380" s="161"/>
      <c r="Q380" s="161"/>
    </row>
    <row r="381" spans="14:17">
      <c r="N381" s="161"/>
      <c r="O381" s="161"/>
      <c r="P381" s="161"/>
      <c r="Q381" s="161"/>
    </row>
    <row r="382" spans="14:17">
      <c r="N382" s="161"/>
      <c r="O382" s="161"/>
      <c r="P382" s="161"/>
      <c r="Q382" s="161"/>
    </row>
    <row r="383" spans="14:17">
      <c r="N383" s="161"/>
      <c r="O383" s="161"/>
      <c r="P383" s="161"/>
      <c r="Q383" s="161"/>
    </row>
    <row r="384" spans="14:17">
      <c r="N384" s="161"/>
      <c r="O384" s="161"/>
      <c r="P384" s="161"/>
      <c r="Q384" s="161"/>
    </row>
    <row r="385" spans="14:17">
      <c r="N385" s="161"/>
      <c r="O385" s="161"/>
      <c r="P385" s="161"/>
      <c r="Q385" s="161"/>
    </row>
    <row r="386" spans="14:17">
      <c r="N386" s="161"/>
      <c r="O386" s="161"/>
      <c r="P386" s="161"/>
      <c r="Q386" s="161"/>
    </row>
    <row r="387" spans="14:17">
      <c r="N387" s="161"/>
      <c r="O387" s="161"/>
      <c r="P387" s="161"/>
      <c r="Q387" s="161"/>
    </row>
    <row r="388" spans="14:17">
      <c r="N388" s="161"/>
      <c r="O388" s="161"/>
      <c r="P388" s="161"/>
      <c r="Q388" s="161"/>
    </row>
    <row r="389" spans="14:17">
      <c r="N389" s="161"/>
      <c r="O389" s="161"/>
      <c r="P389" s="161"/>
      <c r="Q389" s="161"/>
    </row>
    <row r="390" spans="14:17">
      <c r="N390" s="161"/>
      <c r="O390" s="161"/>
      <c r="P390" s="161"/>
      <c r="Q390" s="161"/>
    </row>
    <row r="391" spans="14:17">
      <c r="N391" s="161"/>
      <c r="O391" s="161"/>
      <c r="P391" s="161"/>
      <c r="Q391" s="161"/>
    </row>
    <row r="392" spans="14:17">
      <c r="N392" s="161"/>
      <c r="O392" s="161"/>
      <c r="P392" s="161"/>
      <c r="Q392" s="161"/>
    </row>
    <row r="393" spans="14:17">
      <c r="N393" s="161"/>
      <c r="O393" s="161"/>
      <c r="P393" s="161"/>
      <c r="Q393" s="161"/>
    </row>
    <row r="394" spans="14:17">
      <c r="N394" s="161"/>
      <c r="O394" s="161"/>
      <c r="P394" s="161"/>
      <c r="Q394" s="161"/>
    </row>
    <row r="395" spans="14:17">
      <c r="N395" s="161"/>
      <c r="O395" s="161"/>
      <c r="P395" s="161"/>
      <c r="Q395" s="161"/>
    </row>
    <row r="396" spans="14:17">
      <c r="N396" s="161"/>
      <c r="O396" s="161"/>
      <c r="P396" s="161"/>
      <c r="Q396" s="161"/>
    </row>
    <row r="397" spans="14:17">
      <c r="N397" s="161"/>
      <c r="O397" s="161"/>
      <c r="P397" s="161"/>
      <c r="Q397" s="161"/>
    </row>
    <row r="398" spans="14:17">
      <c r="N398" s="161"/>
      <c r="O398" s="161"/>
      <c r="P398" s="161"/>
      <c r="Q398" s="161"/>
    </row>
    <row r="399" spans="14:17">
      <c r="N399" s="161"/>
      <c r="O399" s="161"/>
      <c r="P399" s="161"/>
      <c r="Q399" s="161"/>
    </row>
    <row r="400" spans="14:17">
      <c r="N400" s="161"/>
      <c r="O400" s="161"/>
      <c r="P400" s="161"/>
      <c r="Q400" s="161"/>
    </row>
    <row r="401" spans="14:17">
      <c r="N401" s="161"/>
      <c r="O401" s="161"/>
      <c r="P401" s="161"/>
      <c r="Q401" s="161"/>
    </row>
    <row r="402" spans="14:17">
      <c r="N402" s="161"/>
      <c r="O402" s="161"/>
      <c r="P402" s="161"/>
      <c r="Q402" s="161"/>
    </row>
    <row r="403" spans="14:17">
      <c r="N403" s="161"/>
      <c r="O403" s="161"/>
      <c r="P403" s="161"/>
      <c r="Q403" s="161"/>
    </row>
    <row r="404" spans="14:17">
      <c r="N404" s="161"/>
      <c r="O404" s="161"/>
      <c r="P404" s="161"/>
      <c r="Q404" s="161"/>
    </row>
    <row r="405" spans="14:17">
      <c r="N405" s="161"/>
      <c r="O405" s="161"/>
      <c r="P405" s="161"/>
      <c r="Q405" s="161"/>
    </row>
    <row r="406" spans="14:17">
      <c r="N406" s="161"/>
      <c r="O406" s="161"/>
      <c r="P406" s="161"/>
      <c r="Q406" s="161"/>
    </row>
    <row r="407" spans="14:17">
      <c r="N407" s="161"/>
      <c r="O407" s="161"/>
      <c r="P407" s="161"/>
      <c r="Q407" s="161"/>
    </row>
    <row r="408" spans="14:17">
      <c r="N408" s="161"/>
      <c r="O408" s="161"/>
      <c r="P408" s="161"/>
      <c r="Q408" s="161"/>
    </row>
    <row r="409" spans="14:17">
      <c r="N409" s="161"/>
      <c r="O409" s="161"/>
      <c r="P409" s="161"/>
      <c r="Q409" s="161"/>
    </row>
    <row r="410" spans="14:17">
      <c r="N410" s="161"/>
      <c r="O410" s="161"/>
      <c r="P410" s="161"/>
      <c r="Q410" s="161"/>
    </row>
    <row r="411" spans="14:17">
      <c r="N411" s="161"/>
      <c r="O411" s="161"/>
      <c r="P411" s="161"/>
      <c r="Q411" s="161"/>
    </row>
    <row r="412" spans="14:17">
      <c r="N412" s="161"/>
      <c r="O412" s="161"/>
      <c r="P412" s="161"/>
      <c r="Q412" s="161"/>
    </row>
    <row r="413" spans="14:17">
      <c r="N413" s="161"/>
      <c r="O413" s="161"/>
      <c r="P413" s="161"/>
      <c r="Q413" s="161"/>
    </row>
    <row r="414" spans="14:17">
      <c r="N414" s="161"/>
      <c r="O414" s="161"/>
      <c r="P414" s="161"/>
      <c r="Q414" s="161"/>
    </row>
    <row r="415" spans="14:17">
      <c r="N415" s="161"/>
      <c r="O415" s="161"/>
      <c r="P415" s="161"/>
      <c r="Q415" s="161"/>
    </row>
    <row r="416" spans="14:17">
      <c r="N416" s="161"/>
      <c r="O416" s="161"/>
      <c r="P416" s="161"/>
      <c r="Q416" s="161"/>
    </row>
    <row r="417" spans="14:17">
      <c r="N417" s="161"/>
      <c r="O417" s="161"/>
      <c r="P417" s="161"/>
      <c r="Q417" s="161"/>
    </row>
    <row r="418" spans="14:17">
      <c r="N418" s="161"/>
      <c r="O418" s="161"/>
      <c r="P418" s="161"/>
      <c r="Q418" s="161"/>
    </row>
    <row r="419" spans="14:17">
      <c r="N419" s="161"/>
      <c r="O419" s="161"/>
      <c r="P419" s="161"/>
      <c r="Q419" s="161"/>
    </row>
    <row r="420" spans="14:17">
      <c r="N420" s="161"/>
      <c r="O420" s="161"/>
      <c r="P420" s="161"/>
      <c r="Q420" s="161"/>
    </row>
    <row r="421" spans="14:17">
      <c r="N421" s="161"/>
      <c r="O421" s="161"/>
      <c r="P421" s="161"/>
      <c r="Q421" s="161"/>
    </row>
    <row r="422" spans="14:17">
      <c r="N422" s="161"/>
      <c r="O422" s="161"/>
      <c r="P422" s="161"/>
      <c r="Q422" s="161"/>
    </row>
    <row r="423" spans="14:17">
      <c r="N423" s="161"/>
      <c r="O423" s="161"/>
      <c r="P423" s="161"/>
      <c r="Q423" s="161"/>
    </row>
    <row r="424" spans="14:17">
      <c r="N424" s="161"/>
      <c r="O424" s="161"/>
      <c r="P424" s="161"/>
      <c r="Q424" s="161"/>
    </row>
    <row r="425" spans="14:17">
      <c r="N425" s="161"/>
      <c r="O425" s="161"/>
      <c r="P425" s="161"/>
      <c r="Q425" s="161"/>
    </row>
    <row r="426" spans="14:17">
      <c r="N426" s="161"/>
      <c r="O426" s="161"/>
      <c r="P426" s="161"/>
      <c r="Q426" s="161"/>
    </row>
    <row r="427" spans="14:17">
      <c r="N427" s="161"/>
      <c r="O427" s="161"/>
      <c r="P427" s="161"/>
      <c r="Q427" s="161"/>
    </row>
    <row r="428" spans="14:17">
      <c r="N428" s="161"/>
      <c r="O428" s="161"/>
      <c r="P428" s="161"/>
      <c r="Q428" s="161"/>
    </row>
    <row r="429" spans="14:17">
      <c r="N429" s="161"/>
      <c r="O429" s="161"/>
      <c r="P429" s="161"/>
      <c r="Q429" s="161"/>
    </row>
    <row r="430" spans="14:17">
      <c r="N430" s="161"/>
      <c r="O430" s="161"/>
      <c r="P430" s="161"/>
      <c r="Q430" s="161"/>
    </row>
    <row r="431" spans="14:17">
      <c r="N431" s="161"/>
      <c r="O431" s="161"/>
      <c r="P431" s="161"/>
      <c r="Q431" s="161"/>
    </row>
    <row r="432" spans="14:17">
      <c r="N432" s="161"/>
      <c r="O432" s="161"/>
      <c r="P432" s="161"/>
      <c r="Q432" s="161"/>
    </row>
    <row r="433" spans="14:17">
      <c r="N433" s="161"/>
      <c r="O433" s="161"/>
      <c r="P433" s="161"/>
      <c r="Q433" s="161"/>
    </row>
    <row r="434" spans="14:17">
      <c r="N434" s="161"/>
      <c r="O434" s="161"/>
      <c r="P434" s="161"/>
      <c r="Q434" s="161"/>
    </row>
    <row r="435" spans="14:17">
      <c r="N435" s="161"/>
      <c r="O435" s="161"/>
      <c r="P435" s="161"/>
      <c r="Q435" s="161"/>
    </row>
    <row r="436" spans="14:17">
      <c r="N436" s="161"/>
      <c r="O436" s="161"/>
      <c r="P436" s="161"/>
      <c r="Q436" s="161"/>
    </row>
    <row r="437" spans="14:17">
      <c r="N437" s="161"/>
      <c r="O437" s="161"/>
      <c r="P437" s="161"/>
      <c r="Q437" s="161"/>
    </row>
    <row r="438" spans="14:17">
      <c r="N438" s="161"/>
      <c r="O438" s="161"/>
      <c r="P438" s="161"/>
      <c r="Q438" s="161"/>
    </row>
    <row r="439" spans="14:17">
      <c r="N439" s="161"/>
      <c r="O439" s="161"/>
      <c r="P439" s="161"/>
      <c r="Q439" s="161"/>
    </row>
    <row r="440" spans="14:17">
      <c r="N440" s="161"/>
      <c r="O440" s="161"/>
      <c r="P440" s="161"/>
      <c r="Q440" s="161"/>
    </row>
    <row r="441" spans="14:17">
      <c r="N441" s="161"/>
      <c r="O441" s="161"/>
      <c r="P441" s="161"/>
      <c r="Q441" s="161"/>
    </row>
    <row r="442" spans="14:17">
      <c r="N442" s="161"/>
      <c r="O442" s="161"/>
      <c r="P442" s="161"/>
      <c r="Q442" s="161"/>
    </row>
    <row r="443" spans="14:17">
      <c r="N443" s="161"/>
      <c r="O443" s="161"/>
      <c r="P443" s="161"/>
      <c r="Q443" s="161"/>
    </row>
    <row r="444" spans="14:17">
      <c r="N444" s="161"/>
      <c r="O444" s="161"/>
      <c r="P444" s="161"/>
      <c r="Q444" s="161"/>
    </row>
    <row r="445" spans="14:17">
      <c r="N445" s="161"/>
      <c r="O445" s="161"/>
      <c r="P445" s="161"/>
      <c r="Q445" s="161"/>
    </row>
    <row r="446" spans="14:17">
      <c r="N446" s="161"/>
      <c r="O446" s="161"/>
      <c r="P446" s="161"/>
      <c r="Q446" s="161"/>
    </row>
    <row r="447" spans="14:17">
      <c r="N447" s="161"/>
      <c r="O447" s="161"/>
      <c r="P447" s="161"/>
      <c r="Q447" s="161"/>
    </row>
    <row r="448" spans="14:17">
      <c r="N448" s="161"/>
      <c r="O448" s="161"/>
      <c r="P448" s="161"/>
      <c r="Q448" s="161"/>
    </row>
    <row r="449" spans="14:17">
      <c r="N449" s="161"/>
      <c r="O449" s="161"/>
      <c r="P449" s="161"/>
      <c r="Q449" s="161"/>
    </row>
    <row r="450" spans="14:17">
      <c r="N450" s="161"/>
      <c r="O450" s="161"/>
      <c r="P450" s="161"/>
      <c r="Q450" s="161"/>
    </row>
    <row r="451" spans="14:17">
      <c r="N451" s="161"/>
      <c r="O451" s="161"/>
      <c r="P451" s="161"/>
      <c r="Q451" s="161"/>
    </row>
    <row r="452" spans="14:17">
      <c r="N452" s="161"/>
      <c r="O452" s="161"/>
      <c r="P452" s="161"/>
      <c r="Q452" s="161"/>
    </row>
    <row r="453" spans="14:17">
      <c r="N453" s="161"/>
      <c r="O453" s="161"/>
      <c r="P453" s="161"/>
      <c r="Q453" s="161"/>
    </row>
    <row r="454" spans="14:17">
      <c r="N454" s="161"/>
      <c r="O454" s="161"/>
      <c r="P454" s="161"/>
      <c r="Q454" s="161"/>
    </row>
    <row r="455" spans="14:17">
      <c r="N455" s="161"/>
      <c r="O455" s="161"/>
      <c r="P455" s="161"/>
      <c r="Q455" s="161"/>
    </row>
    <row r="456" spans="14:17">
      <c r="N456" s="161"/>
      <c r="O456" s="161"/>
      <c r="P456" s="161"/>
      <c r="Q456" s="161"/>
    </row>
    <row r="457" spans="14:17">
      <c r="N457" s="161"/>
      <c r="O457" s="161"/>
      <c r="P457" s="161"/>
      <c r="Q457" s="161"/>
    </row>
    <row r="458" spans="14:17">
      <c r="N458" s="161"/>
      <c r="O458" s="161"/>
      <c r="P458" s="161"/>
      <c r="Q458" s="161"/>
    </row>
    <row r="459" spans="14:17">
      <c r="N459" s="161"/>
      <c r="O459" s="161"/>
      <c r="P459" s="161"/>
      <c r="Q459" s="161"/>
    </row>
    <row r="460" spans="14:17">
      <c r="N460" s="161"/>
      <c r="O460" s="161"/>
      <c r="P460" s="161"/>
      <c r="Q460" s="161"/>
    </row>
  </sheetData>
  <mergeCells count="14">
    <mergeCell ref="C235:L235"/>
    <mergeCell ref="C236:L236"/>
    <mergeCell ref="C217:L217"/>
    <mergeCell ref="C221:L221"/>
    <mergeCell ref="C222:L222"/>
    <mergeCell ref="C223:L223"/>
    <mergeCell ref="C233:L233"/>
    <mergeCell ref="C234:L234"/>
    <mergeCell ref="C216:L216"/>
    <mergeCell ref="D42:D43"/>
    <mergeCell ref="D52:D53"/>
    <mergeCell ref="C210:L211"/>
    <mergeCell ref="C213:L213"/>
    <mergeCell ref="C214:L214"/>
  </mergeCells>
  <pageMargins left="0.7" right="0.7" top="0.75" bottom="0.75" header="0.3" footer="0.3"/>
  <pageSetup scale="37" fitToHeight="5" orientation="landscape" r:id="rId1"/>
  <rowBreaks count="4" manualBreakCount="4">
    <brk id="24" max="12" man="1"/>
    <brk id="74" max="12" man="1"/>
    <brk id="149" max="12" man="1"/>
    <brk id="194" max="12" man="1"/>
  </rowBreaks>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8EAAA-4AE3-428E-B71A-6CFAC5E92F30}">
  <sheetPr>
    <pageSetUpPr fitToPage="1"/>
  </sheetPr>
  <dimension ref="A1:L263"/>
  <sheetViews>
    <sheetView view="pageBreakPreview" topLeftCell="A4" zoomScale="90" zoomScaleNormal="100" zoomScaleSheetLayoutView="90" workbookViewId="0">
      <selection sqref="A1:G1"/>
    </sheetView>
  </sheetViews>
  <sheetFormatPr defaultColWidth="8.77734375" defaultRowHeight="15.75"/>
  <cols>
    <col min="1" max="1" width="7.109375" style="234" customWidth="1"/>
    <col min="2" max="2" width="57.77734375" style="234" customWidth="1"/>
    <col min="3" max="3" width="28.109375" style="234" customWidth="1"/>
    <col min="4" max="4" width="10.77734375" style="238" bestFit="1" customWidth="1"/>
    <col min="5" max="5" width="9.109375" style="234" bestFit="1" customWidth="1"/>
    <col min="6" max="9" width="8.77734375" style="234"/>
    <col min="10" max="16384" width="8.77734375" style="235"/>
  </cols>
  <sheetData>
    <row r="1" spans="1:12">
      <c r="A1" s="1007" t="s">
        <v>245</v>
      </c>
      <c r="B1" s="1007"/>
      <c r="C1" s="1007"/>
      <c r="D1" s="1007"/>
      <c r="E1" s="1007"/>
      <c r="F1" s="1007"/>
      <c r="G1" s="1007"/>
    </row>
    <row r="2" spans="1:12">
      <c r="A2" s="1008" t="str">
        <f>'Appendix III'!$E$7</f>
        <v>GridLiance West LLC (GLW)</v>
      </c>
      <c r="B2" s="1008"/>
      <c r="C2" s="1008"/>
      <c r="D2" s="1008"/>
      <c r="E2" s="1008"/>
      <c r="F2" s="1008"/>
      <c r="G2" s="1008"/>
    </row>
    <row r="5" spans="1:12">
      <c r="B5" s="237" t="s">
        <v>246</v>
      </c>
      <c r="C5" s="234" t="s">
        <v>247</v>
      </c>
    </row>
    <row r="6" spans="1:12">
      <c r="A6" s="234">
        <v>1</v>
      </c>
      <c r="B6" s="234" t="s">
        <v>248</v>
      </c>
      <c r="C6" s="234" t="s">
        <v>249</v>
      </c>
      <c r="D6" s="239">
        <f>+C46</f>
        <v>121040</v>
      </c>
    </row>
    <row r="7" spans="1:12">
      <c r="D7" s="240"/>
    </row>
    <row r="8" spans="1:12">
      <c r="B8" s="237" t="s">
        <v>250</v>
      </c>
      <c r="C8" s="234" t="s">
        <v>247</v>
      </c>
      <c r="G8" s="238"/>
      <c r="L8" s="241"/>
    </row>
    <row r="9" spans="1:12">
      <c r="A9" s="242">
        <f>+A6+1</f>
        <v>2</v>
      </c>
      <c r="B9" s="234" t="s">
        <v>251</v>
      </c>
      <c r="C9" s="234" t="s">
        <v>252</v>
      </c>
      <c r="D9" s="243">
        <v>0</v>
      </c>
      <c r="G9" s="238"/>
    </row>
    <row r="10" spans="1:12">
      <c r="A10" s="242">
        <v>3</v>
      </c>
      <c r="B10" s="234" t="s">
        <v>253</v>
      </c>
      <c r="C10" s="234" t="s">
        <v>252</v>
      </c>
      <c r="D10" s="243">
        <v>0</v>
      </c>
      <c r="G10" s="238"/>
    </row>
    <row r="11" spans="1:12">
      <c r="A11" s="242">
        <v>4</v>
      </c>
      <c r="B11" s="234" t="s">
        <v>254</v>
      </c>
      <c r="C11" s="234" t="s">
        <v>252</v>
      </c>
      <c r="D11" s="243">
        <v>0</v>
      </c>
      <c r="G11" s="239"/>
    </row>
    <row r="12" spans="1:12">
      <c r="A12" s="242">
        <f>+A11+1</f>
        <v>5</v>
      </c>
      <c r="B12" s="234" t="s">
        <v>255</v>
      </c>
      <c r="C12" s="234" t="s">
        <v>252</v>
      </c>
      <c r="D12" s="243">
        <v>0</v>
      </c>
    </row>
    <row r="13" spans="1:12">
      <c r="A13" s="242">
        <f>+A12+1</f>
        <v>6</v>
      </c>
      <c r="B13" s="234" t="s">
        <v>256</v>
      </c>
      <c r="C13" s="234" t="s">
        <v>252</v>
      </c>
      <c r="D13" s="244">
        <v>0</v>
      </c>
    </row>
    <row r="14" spans="1:12">
      <c r="D14" s="245"/>
    </row>
    <row r="15" spans="1:12">
      <c r="A15" s="234">
        <f>+A13+1</f>
        <v>7</v>
      </c>
      <c r="B15" s="234" t="s">
        <v>257</v>
      </c>
      <c r="C15" s="234" t="str">
        <f>"Sum lines "&amp;A9&amp;"-"&amp;A13&amp;" + line "&amp;A6&amp;""</f>
        <v>Sum lines 2-6 + line 1</v>
      </c>
      <c r="D15" s="239">
        <f>SUM(D9:D13)+D6</f>
        <v>121040</v>
      </c>
    </row>
    <row r="16" spans="1:12">
      <c r="D16" s="239"/>
    </row>
    <row r="17" spans="1:9">
      <c r="D17" s="246"/>
      <c r="E17" s="233"/>
    </row>
    <row r="18" spans="1:9" s="249" customFormat="1">
      <c r="A18" s="234"/>
      <c r="B18" s="234"/>
      <c r="C18" s="234"/>
      <c r="D18" s="247"/>
      <c r="E18" s="245"/>
      <c r="F18" s="248"/>
      <c r="G18" s="248"/>
      <c r="H18" s="248"/>
      <c r="I18" s="248"/>
    </row>
    <row r="19" spans="1:9" ht="96" customHeight="1">
      <c r="A19" s="242" t="s">
        <v>258</v>
      </c>
      <c r="B19" s="1020" t="s">
        <v>259</v>
      </c>
      <c r="C19" s="1020"/>
      <c r="D19" s="1020"/>
      <c r="E19" s="1020"/>
      <c r="F19" s="1020"/>
    </row>
    <row r="20" spans="1:9" ht="38.25" customHeight="1">
      <c r="A20" s="242" t="s">
        <v>260</v>
      </c>
      <c r="B20" s="1020" t="s">
        <v>261</v>
      </c>
      <c r="C20" s="1020"/>
      <c r="D20" s="1020"/>
      <c r="E20" s="1020"/>
      <c r="F20" s="1020"/>
    </row>
    <row r="21" spans="1:9">
      <c r="A21" s="242" t="s">
        <v>252</v>
      </c>
      <c r="B21" s="242" t="s">
        <v>262</v>
      </c>
      <c r="C21" s="242"/>
      <c r="D21" s="250"/>
      <c r="E21" s="242"/>
      <c r="F21" s="242"/>
    </row>
    <row r="22" spans="1:9" ht="15.75" customHeight="1">
      <c r="A22" s="2"/>
      <c r="B22" s="2"/>
      <c r="C22" s="2"/>
      <c r="D22" s="2"/>
      <c r="E22" s="2"/>
      <c r="F22" s="2"/>
      <c r="G22" s="2"/>
      <c r="H22" s="2"/>
    </row>
    <row r="23" spans="1:9" ht="15.75" customHeight="1">
      <c r="A23" s="251" t="s">
        <v>263</v>
      </c>
      <c r="B23" s="2"/>
      <c r="C23" s="2"/>
      <c r="D23" s="2"/>
      <c r="E23" s="2"/>
      <c r="F23" s="252"/>
      <c r="G23" s="252"/>
      <c r="H23" s="252"/>
    </row>
    <row r="24" spans="1:9">
      <c r="A24" s="3">
        <v>1</v>
      </c>
      <c r="B24" s="234" t="s">
        <v>264</v>
      </c>
      <c r="C24" s="253" t="s">
        <v>265</v>
      </c>
      <c r="D24" s="253" t="s">
        <v>266</v>
      </c>
      <c r="E24" s="253" t="s">
        <v>267</v>
      </c>
      <c r="F24" s="253" t="s">
        <v>268</v>
      </c>
    </row>
    <row r="25" spans="1:9">
      <c r="A25" s="3" t="s">
        <v>269</v>
      </c>
      <c r="B25" s="254" t="s">
        <v>270</v>
      </c>
      <c r="C25" s="255">
        <f>SUM(D25:F25)</f>
        <v>0</v>
      </c>
      <c r="D25" s="256">
        <v>0</v>
      </c>
      <c r="E25" s="256">
        <v>0</v>
      </c>
      <c r="F25" s="256">
        <v>0</v>
      </c>
    </row>
    <row r="26" spans="1:9">
      <c r="A26" s="3" t="s">
        <v>271</v>
      </c>
      <c r="B26" s="257" t="s">
        <v>272</v>
      </c>
      <c r="C26" s="255"/>
      <c r="D26" s="256"/>
      <c r="E26" s="256"/>
      <c r="F26" s="256"/>
    </row>
    <row r="27" spans="1:9">
      <c r="A27" s="3" t="s">
        <v>273</v>
      </c>
      <c r="B27" s="254" t="s">
        <v>274</v>
      </c>
      <c r="C27" s="255">
        <f>SUM(D27:F27)</f>
        <v>0</v>
      </c>
      <c r="D27" s="256">
        <v>0</v>
      </c>
      <c r="E27" s="256">
        <v>0</v>
      </c>
      <c r="F27" s="256">
        <v>0</v>
      </c>
    </row>
    <row r="28" spans="1:9">
      <c r="A28" s="3">
        <v>2</v>
      </c>
      <c r="B28" s="254" t="s">
        <v>275</v>
      </c>
      <c r="C28" s="258">
        <f>SUM(D28:F28)</f>
        <v>0</v>
      </c>
      <c r="D28" s="256">
        <v>0</v>
      </c>
      <c r="E28" s="256">
        <v>0</v>
      </c>
      <c r="F28" s="256">
        <v>0</v>
      </c>
    </row>
    <row r="29" spans="1:9">
      <c r="A29" s="3">
        <v>3</v>
      </c>
      <c r="B29" s="234" t="s">
        <v>276</v>
      </c>
      <c r="C29" s="259">
        <f>SUM(C25:C28)</f>
        <v>0</v>
      </c>
      <c r="D29" s="259">
        <f>SUM(D25:D28)</f>
        <v>0</v>
      </c>
      <c r="E29" s="259">
        <f>SUM(E25:E28)</f>
        <v>0</v>
      </c>
      <c r="F29" s="259">
        <f>SUM(F25:F28)</f>
        <v>0</v>
      </c>
    </row>
    <row r="30" spans="1:9">
      <c r="A30" s="3">
        <v>4</v>
      </c>
      <c r="B30" s="254" t="s">
        <v>277</v>
      </c>
      <c r="C30" s="254"/>
      <c r="D30" s="254"/>
      <c r="E30" s="254"/>
      <c r="F30" s="254"/>
    </row>
    <row r="31" spans="1:9">
      <c r="A31" s="3">
        <v>5</v>
      </c>
      <c r="B31" s="254" t="s">
        <v>278</v>
      </c>
      <c r="C31" s="260">
        <f>SUM(D31:F31)</f>
        <v>0</v>
      </c>
      <c r="D31" s="261">
        <v>0</v>
      </c>
      <c r="E31" s="261">
        <v>0</v>
      </c>
      <c r="F31" s="261">
        <v>0</v>
      </c>
    </row>
    <row r="32" spans="1:9">
      <c r="A32" s="3">
        <v>6</v>
      </c>
      <c r="B32" s="254" t="s">
        <v>279</v>
      </c>
      <c r="C32" s="262">
        <f>SUM(D32:F32)</f>
        <v>0</v>
      </c>
      <c r="D32" s="261">
        <v>0</v>
      </c>
      <c r="E32" s="261">
        <v>0</v>
      </c>
      <c r="F32" s="261">
        <v>0</v>
      </c>
    </row>
    <row r="33" spans="1:7">
      <c r="A33" s="3">
        <v>7</v>
      </c>
      <c r="B33" s="263" t="s">
        <v>280</v>
      </c>
      <c r="C33" s="262">
        <f>+C29-C31-C32</f>
        <v>0</v>
      </c>
      <c r="D33" s="262">
        <f>+D29-D31-D32</f>
        <v>0</v>
      </c>
      <c r="E33" s="262">
        <f>+E29-E31-E32</f>
        <v>0</v>
      </c>
      <c r="F33" s="262">
        <f>+F29-F31-F32</f>
        <v>0</v>
      </c>
    </row>
    <row r="34" spans="1:7">
      <c r="A34" s="3">
        <v>8</v>
      </c>
      <c r="B34" s="254" t="s">
        <v>281</v>
      </c>
      <c r="C34" s="261">
        <v>0</v>
      </c>
      <c r="D34" s="261">
        <v>0</v>
      </c>
      <c r="E34" s="261">
        <v>0</v>
      </c>
      <c r="F34" s="261">
        <v>0</v>
      </c>
    </row>
    <row r="35" spans="1:7">
      <c r="A35" s="233">
        <v>9</v>
      </c>
      <c r="B35" s="234" t="s">
        <v>282</v>
      </c>
      <c r="C35" s="264">
        <f>SUM(C33:C34)</f>
        <v>0</v>
      </c>
    </row>
    <row r="36" spans="1:7">
      <c r="A36" s="233"/>
    </row>
    <row r="37" spans="1:7">
      <c r="A37" s="233">
        <v>10</v>
      </c>
      <c r="B37" s="234" t="s">
        <v>283</v>
      </c>
      <c r="C37" s="265" t="s">
        <v>171</v>
      </c>
      <c r="D37" s="234"/>
    </row>
    <row r="38" spans="1:7">
      <c r="A38" s="233" t="s">
        <v>284</v>
      </c>
      <c r="B38" s="234" t="s">
        <v>285</v>
      </c>
      <c r="C38" s="243">
        <v>121040</v>
      </c>
      <c r="D38" s="234"/>
    </row>
    <row r="39" spans="1:7">
      <c r="A39" s="233" t="s">
        <v>286</v>
      </c>
      <c r="B39" s="234" t="s">
        <v>287</v>
      </c>
      <c r="C39" s="243">
        <v>0</v>
      </c>
      <c r="D39" s="234"/>
    </row>
    <row r="40" spans="1:7">
      <c r="A40" s="233" t="s">
        <v>288</v>
      </c>
      <c r="B40" s="234" t="s">
        <v>289</v>
      </c>
      <c r="C40" s="243">
        <v>0</v>
      </c>
      <c r="D40" s="234"/>
    </row>
    <row r="41" spans="1:7">
      <c r="A41" s="233" t="s">
        <v>290</v>
      </c>
      <c r="B41" s="234" t="s">
        <v>291</v>
      </c>
      <c r="C41" s="243">
        <v>0</v>
      </c>
      <c r="D41" s="234"/>
    </row>
    <row r="42" spans="1:7">
      <c r="A42" s="233" t="s">
        <v>292</v>
      </c>
      <c r="B42" s="234" t="s">
        <v>293</v>
      </c>
      <c r="C42" s="243">
        <v>0</v>
      </c>
      <c r="D42" s="234"/>
    </row>
    <row r="43" spans="1:7">
      <c r="A43" s="233" t="s">
        <v>294</v>
      </c>
      <c r="B43" s="234" t="s">
        <v>295</v>
      </c>
      <c r="C43" s="243">
        <v>0</v>
      </c>
      <c r="D43" s="234"/>
    </row>
    <row r="44" spans="1:7">
      <c r="A44" s="233" t="s">
        <v>296</v>
      </c>
      <c r="B44" s="234" t="s">
        <v>297</v>
      </c>
      <c r="C44" s="243">
        <v>0</v>
      </c>
      <c r="D44" s="234"/>
    </row>
    <row r="45" spans="1:7">
      <c r="A45" s="233" t="s">
        <v>298</v>
      </c>
      <c r="B45" s="266" t="s">
        <v>272</v>
      </c>
      <c r="C45" s="243">
        <v>0</v>
      </c>
      <c r="D45" s="234"/>
    </row>
    <row r="46" spans="1:7">
      <c r="A46" s="233">
        <v>11</v>
      </c>
      <c r="B46" s="234" t="s">
        <v>299</v>
      </c>
      <c r="C46" s="267">
        <f>SUM(C38:C45)</f>
        <v>121040</v>
      </c>
      <c r="D46" s="234"/>
    </row>
    <row r="47" spans="1:7" ht="12.75" customHeight="1">
      <c r="A47" s="242"/>
      <c r="B47" s="1021"/>
      <c r="C47" s="1021"/>
      <c r="D47" s="1021"/>
      <c r="E47" s="1021"/>
      <c r="F47" s="1021"/>
    </row>
    <row r="48" spans="1:7" ht="29.85" customHeight="1">
      <c r="A48" s="242" t="s">
        <v>300</v>
      </c>
      <c r="B48" s="1019" t="s">
        <v>301</v>
      </c>
      <c r="C48" s="1019"/>
      <c r="D48" s="1019"/>
      <c r="E48" s="1019"/>
      <c r="F48" s="1019"/>
      <c r="G48" s="1019"/>
    </row>
    <row r="122" spans="4:4">
      <c r="D122" s="239"/>
    </row>
    <row r="228" spans="8:8">
      <c r="H228" s="268"/>
    </row>
    <row r="242" ht="99.75" customHeight="1"/>
    <row r="263" ht="40.700000000000003" customHeight="1"/>
  </sheetData>
  <mergeCells count="6">
    <mergeCell ref="B48:G48"/>
    <mergeCell ref="A1:G1"/>
    <mergeCell ref="A2:G2"/>
    <mergeCell ref="B19:F19"/>
    <mergeCell ref="B20:F20"/>
    <mergeCell ref="B47:F47"/>
  </mergeCells>
  <pageMargins left="0.7" right="0.7" top="0.75" bottom="0.75" header="0.3" footer="0.3"/>
  <pageSetup scale="58" orientation="landscape" r:id="rId1"/>
  <rowBreaks count="1" manualBreakCount="1">
    <brk id="64" max="3" man="1"/>
  </rowBreaks>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A2D26-1BCE-4481-878D-EEC10DD1F2BC}">
  <dimension ref="A1:R162"/>
  <sheetViews>
    <sheetView view="pageBreakPreview" topLeftCell="A15" zoomScale="80" zoomScaleNormal="100" zoomScaleSheetLayoutView="80" workbookViewId="0">
      <selection sqref="A1:F1"/>
    </sheetView>
  </sheetViews>
  <sheetFormatPr defaultColWidth="8.77734375" defaultRowHeight="15.75"/>
  <cols>
    <col min="1" max="1" width="5" style="233" customWidth="1"/>
    <col min="2" max="2" width="3.109375" style="234" customWidth="1"/>
    <col min="3" max="3" width="48.109375" style="234" customWidth="1"/>
    <col min="4" max="4" width="18.44140625" style="234" customWidth="1"/>
    <col min="5" max="5" width="13.44140625" style="234" customWidth="1"/>
    <col min="6" max="6" width="18" style="234" customWidth="1"/>
    <col min="7" max="7" width="15.109375" style="271" customWidth="1"/>
    <col min="8" max="8" width="11.77734375" style="271" customWidth="1"/>
    <col min="9" max="9" width="13" style="271" customWidth="1"/>
    <col min="10" max="10" width="10.44140625" style="271" customWidth="1"/>
    <col min="11" max="11" width="10" style="271" bestFit="1" customWidth="1"/>
    <col min="12" max="12" width="9" style="271" bestFit="1" customWidth="1"/>
    <col min="13" max="13" width="7.44140625" style="271" customWidth="1"/>
    <col min="14" max="14" width="8.77734375" style="271"/>
    <col min="15" max="15" width="11.44140625" style="271" customWidth="1"/>
    <col min="16" max="18" width="8.77734375" style="271"/>
    <col min="19" max="16384" width="8.77734375" style="235"/>
  </cols>
  <sheetData>
    <row r="1" spans="1:16" ht="22.7" customHeight="1">
      <c r="A1" s="1007" t="s">
        <v>302</v>
      </c>
      <c r="B1" s="1007"/>
      <c r="C1" s="1007"/>
      <c r="D1" s="1007"/>
      <c r="E1" s="1007"/>
      <c r="F1" s="1007"/>
      <c r="G1" s="269"/>
      <c r="H1" s="270"/>
      <c r="I1" s="270"/>
      <c r="J1" s="270"/>
      <c r="K1" s="270"/>
      <c r="L1" s="270"/>
      <c r="M1" s="270"/>
    </row>
    <row r="2" spans="1:16" ht="18">
      <c r="A2" s="1008" t="str">
        <f>'Appendix III'!$E$7</f>
        <v>GridLiance West LLC (GLW)</v>
      </c>
      <c r="B2" s="1008"/>
      <c r="C2" s="1008"/>
      <c r="D2" s="1008"/>
      <c r="E2" s="1008"/>
      <c r="F2" s="1008"/>
      <c r="G2" s="270"/>
      <c r="H2" s="270"/>
      <c r="I2" s="270"/>
      <c r="J2" s="270"/>
      <c r="K2" s="270"/>
      <c r="L2" s="270"/>
      <c r="M2" s="270"/>
    </row>
    <row r="4" spans="1:16" ht="16.5" thickBot="1">
      <c r="A4" s="272" t="s">
        <v>303</v>
      </c>
    </row>
    <row r="5" spans="1:16">
      <c r="A5" s="1009" t="s">
        <v>304</v>
      </c>
      <c r="B5" s="1010"/>
      <c r="C5" s="1010"/>
      <c r="D5" s="1010"/>
      <c r="E5" s="1010"/>
      <c r="F5" s="1011"/>
      <c r="G5" s="273"/>
      <c r="H5" s="273"/>
      <c r="I5" s="273"/>
      <c r="J5" s="1012"/>
      <c r="K5" s="1012"/>
      <c r="L5" s="1012"/>
      <c r="M5" s="1012"/>
    </row>
    <row r="6" spans="1:16">
      <c r="A6" s="274">
        <v>1</v>
      </c>
      <c r="C6" s="275" t="s">
        <v>305</v>
      </c>
      <c r="D6" s="234" t="s">
        <v>67</v>
      </c>
      <c r="E6" s="233" t="s">
        <v>306</v>
      </c>
      <c r="F6" s="276" t="s">
        <v>307</v>
      </c>
      <c r="G6" s="277"/>
      <c r="H6" s="278"/>
      <c r="I6" s="235"/>
      <c r="L6" s="273"/>
      <c r="M6" s="273"/>
      <c r="N6" s="273"/>
    </row>
    <row r="7" spans="1:16">
      <c r="A7" s="274">
        <f t="shared" ref="A7:A20" si="0">+A6+1</f>
        <v>2</v>
      </c>
      <c r="C7" s="234" t="s">
        <v>308</v>
      </c>
      <c r="D7" s="279" t="s">
        <v>309</v>
      </c>
      <c r="E7" s="280">
        <f>YEAR(EDATE('Appendix III'!$N$7,-12))</f>
        <v>2026</v>
      </c>
      <c r="F7" s="281">
        <v>237587996.06999999</v>
      </c>
      <c r="G7" s="282"/>
      <c r="H7" s="235"/>
      <c r="I7" s="235"/>
      <c r="L7" s="283"/>
      <c r="M7" s="273"/>
      <c r="N7" s="273"/>
    </row>
    <row r="8" spans="1:16">
      <c r="A8" s="274">
        <f t="shared" si="0"/>
        <v>3</v>
      </c>
      <c r="C8" s="284" t="s">
        <v>310</v>
      </c>
      <c r="D8" s="234" t="s">
        <v>311</v>
      </c>
      <c r="E8" s="280">
        <f>YEAR('Appendix III'!$N$7)</f>
        <v>2027</v>
      </c>
      <c r="F8" s="281">
        <v>237595234.92999998</v>
      </c>
      <c r="G8" s="282"/>
      <c r="H8" s="285"/>
      <c r="I8" s="286"/>
      <c r="J8" s="287"/>
      <c r="K8" s="288"/>
      <c r="L8" s="273"/>
      <c r="M8" s="273"/>
      <c r="N8" s="273"/>
    </row>
    <row r="9" spans="1:16">
      <c r="A9" s="274">
        <f t="shared" si="0"/>
        <v>4</v>
      </c>
      <c r="B9" s="233"/>
      <c r="C9" s="284" t="s">
        <v>312</v>
      </c>
      <c r="D9" s="234" t="s">
        <v>311</v>
      </c>
      <c r="E9" s="280">
        <f>E8</f>
        <v>2027</v>
      </c>
      <c r="F9" s="281">
        <v>237601988.59999999</v>
      </c>
      <c r="G9" s="282"/>
      <c r="H9" s="285"/>
      <c r="I9" s="286"/>
      <c r="J9" s="287"/>
      <c r="K9" s="288"/>
      <c r="L9" s="273"/>
      <c r="M9" s="273"/>
      <c r="N9" s="273"/>
    </row>
    <row r="10" spans="1:16">
      <c r="A10" s="274">
        <f t="shared" si="0"/>
        <v>5</v>
      </c>
      <c r="B10" s="233"/>
      <c r="C10" s="284" t="s">
        <v>313</v>
      </c>
      <c r="D10" s="234" t="s">
        <v>311</v>
      </c>
      <c r="E10" s="280">
        <f t="shared" ref="E10:E19" si="1">E9</f>
        <v>2027</v>
      </c>
      <c r="F10" s="281">
        <v>237610041.73999998</v>
      </c>
      <c r="G10" s="282"/>
      <c r="H10" s="285"/>
      <c r="I10" s="286"/>
      <c r="J10" s="287"/>
      <c r="K10" s="288"/>
      <c r="L10" s="273"/>
      <c r="M10" s="273"/>
      <c r="N10" s="273"/>
      <c r="O10" s="287"/>
      <c r="P10" s="287"/>
    </row>
    <row r="11" spans="1:16">
      <c r="A11" s="274">
        <f t="shared" si="0"/>
        <v>6</v>
      </c>
      <c r="C11" s="284" t="s">
        <v>314</v>
      </c>
      <c r="D11" s="234" t="s">
        <v>311</v>
      </c>
      <c r="E11" s="280">
        <f t="shared" si="1"/>
        <v>2027</v>
      </c>
      <c r="F11" s="281">
        <v>237617680.65000001</v>
      </c>
      <c r="G11" s="282"/>
      <c r="H11" s="285"/>
      <c r="I11" s="286"/>
      <c r="J11" s="287"/>
      <c r="K11" s="288"/>
      <c r="L11" s="273"/>
      <c r="M11" s="273"/>
      <c r="N11" s="273"/>
    </row>
    <row r="12" spans="1:16">
      <c r="A12" s="274">
        <f t="shared" si="0"/>
        <v>7</v>
      </c>
      <c r="C12" s="284" t="s">
        <v>315</v>
      </c>
      <c r="D12" s="234" t="s">
        <v>311</v>
      </c>
      <c r="E12" s="280">
        <f t="shared" si="1"/>
        <v>2027</v>
      </c>
      <c r="F12" s="281">
        <v>237624966.76000002</v>
      </c>
      <c r="G12" s="282"/>
      <c r="H12" s="285"/>
      <c r="I12" s="286"/>
      <c r="J12" s="287"/>
      <c r="K12" s="288"/>
    </row>
    <row r="13" spans="1:16">
      <c r="A13" s="274">
        <f t="shared" si="0"/>
        <v>8</v>
      </c>
      <c r="C13" s="284" t="s">
        <v>316</v>
      </c>
      <c r="D13" s="234" t="s">
        <v>311</v>
      </c>
      <c r="E13" s="280">
        <f t="shared" si="1"/>
        <v>2027</v>
      </c>
      <c r="F13" s="281">
        <v>241980786.78999999</v>
      </c>
      <c r="G13" s="282"/>
      <c r="H13" s="285"/>
      <c r="I13" s="286"/>
      <c r="J13" s="287"/>
      <c r="K13" s="288"/>
      <c r="L13" s="273"/>
      <c r="M13" s="273"/>
      <c r="N13" s="273"/>
    </row>
    <row r="14" spans="1:16">
      <c r="A14" s="274">
        <f t="shared" si="0"/>
        <v>9</v>
      </c>
      <c r="C14" s="284" t="s">
        <v>317</v>
      </c>
      <c r="D14" s="234" t="s">
        <v>311</v>
      </c>
      <c r="E14" s="280">
        <f t="shared" si="1"/>
        <v>2027</v>
      </c>
      <c r="F14" s="281">
        <v>242115323.5</v>
      </c>
      <c r="G14" s="282"/>
      <c r="H14" s="285"/>
      <c r="I14" s="286"/>
      <c r="J14" s="287"/>
      <c r="K14" s="288"/>
      <c r="L14" s="273"/>
      <c r="M14" s="273"/>
      <c r="N14" s="273"/>
    </row>
    <row r="15" spans="1:16">
      <c r="A15" s="274">
        <f t="shared" si="0"/>
        <v>10</v>
      </c>
      <c r="B15" s="233"/>
      <c r="C15" s="284" t="s">
        <v>318</v>
      </c>
      <c r="D15" s="234" t="s">
        <v>311</v>
      </c>
      <c r="E15" s="280">
        <f t="shared" si="1"/>
        <v>2027</v>
      </c>
      <c r="F15" s="281">
        <v>248034362.25</v>
      </c>
      <c r="G15" s="282"/>
      <c r="H15" s="285"/>
      <c r="I15" s="286"/>
      <c r="J15" s="287"/>
      <c r="K15" s="288"/>
      <c r="L15" s="273"/>
      <c r="M15" s="273"/>
      <c r="N15" s="273"/>
    </row>
    <row r="16" spans="1:16">
      <c r="A16" s="274">
        <f t="shared" si="0"/>
        <v>11</v>
      </c>
      <c r="B16" s="233"/>
      <c r="C16" s="284" t="s">
        <v>319</v>
      </c>
      <c r="D16" s="234" t="s">
        <v>311</v>
      </c>
      <c r="E16" s="280">
        <f t="shared" si="1"/>
        <v>2027</v>
      </c>
      <c r="F16" s="281">
        <v>248079579.03999999</v>
      </c>
      <c r="G16" s="282"/>
      <c r="H16" s="285"/>
      <c r="I16" s="286"/>
      <c r="J16" s="287"/>
      <c r="K16" s="288"/>
      <c r="L16" s="273"/>
      <c r="M16" s="273"/>
      <c r="N16" s="273"/>
    </row>
    <row r="17" spans="1:14">
      <c r="A17" s="274">
        <f t="shared" si="0"/>
        <v>12</v>
      </c>
      <c r="C17" s="284" t="s">
        <v>320</v>
      </c>
      <c r="D17" s="234" t="s">
        <v>311</v>
      </c>
      <c r="E17" s="280">
        <f t="shared" si="1"/>
        <v>2027</v>
      </c>
      <c r="F17" s="281">
        <v>248104100.04999998</v>
      </c>
      <c r="G17" s="282"/>
      <c r="H17" s="285"/>
      <c r="I17" s="286"/>
      <c r="J17" s="287"/>
      <c r="K17" s="288"/>
      <c r="L17" s="273"/>
      <c r="M17" s="273"/>
      <c r="N17" s="273"/>
    </row>
    <row r="18" spans="1:14">
      <c r="A18" s="274">
        <f t="shared" si="0"/>
        <v>13</v>
      </c>
      <c r="C18" s="284" t="s">
        <v>321</v>
      </c>
      <c r="D18" s="234" t="s">
        <v>311</v>
      </c>
      <c r="E18" s="280">
        <f t="shared" si="1"/>
        <v>2027</v>
      </c>
      <c r="F18" s="281">
        <v>248117463.44</v>
      </c>
      <c r="G18" s="289"/>
      <c r="H18" s="285"/>
      <c r="I18" s="286"/>
      <c r="J18" s="287"/>
      <c r="K18" s="288"/>
      <c r="L18" s="273"/>
      <c r="M18" s="273"/>
      <c r="N18" s="273"/>
    </row>
    <row r="19" spans="1:14">
      <c r="A19" s="274">
        <f t="shared" si="0"/>
        <v>14</v>
      </c>
      <c r="C19" s="290" t="s">
        <v>308</v>
      </c>
      <c r="D19" s="291" t="s">
        <v>322</v>
      </c>
      <c r="E19" s="292">
        <f t="shared" si="1"/>
        <v>2027</v>
      </c>
      <c r="F19" s="293">
        <v>1131508502.3700001</v>
      </c>
      <c r="G19" s="282"/>
      <c r="H19" s="285"/>
      <c r="I19" s="286"/>
      <c r="J19" s="287"/>
      <c r="K19" s="288"/>
    </row>
    <row r="20" spans="1:14">
      <c r="A20" s="274">
        <f t="shared" si="0"/>
        <v>15</v>
      </c>
      <c r="C20" s="294" t="s">
        <v>323</v>
      </c>
      <c r="D20" s="234" t="str">
        <f>"(sum lines "&amp;A7&amp;"-"&amp;A19&amp;") /13"</f>
        <v>(sum lines 2-14) /13</v>
      </c>
      <c r="E20" s="295"/>
      <c r="F20" s="296">
        <f>SUM(F7:F19)/13</f>
        <v>310275232.7838462</v>
      </c>
      <c r="G20" s="297"/>
      <c r="H20" s="297"/>
      <c r="K20" s="273"/>
      <c r="L20" s="273"/>
      <c r="M20" s="273"/>
      <c r="N20" s="273"/>
    </row>
    <row r="21" spans="1:14">
      <c r="A21" s="274"/>
      <c r="B21" s="233"/>
      <c r="C21" s="284"/>
      <c r="E21" s="298"/>
      <c r="F21" s="299"/>
      <c r="G21" s="300"/>
      <c r="H21" s="300"/>
      <c r="I21" s="301"/>
      <c r="J21" s="301"/>
      <c r="K21" s="273"/>
      <c r="L21" s="273"/>
      <c r="M21" s="273"/>
      <c r="N21" s="273"/>
    </row>
    <row r="22" spans="1:14">
      <c r="A22" s="274">
        <f>+A20+1</f>
        <v>16</v>
      </c>
      <c r="C22" s="275" t="s">
        <v>324</v>
      </c>
      <c r="D22" s="234" t="s">
        <v>67</v>
      </c>
      <c r="E22" s="302"/>
      <c r="F22" s="303"/>
      <c r="H22" s="300"/>
      <c r="I22" s="301"/>
      <c r="K22" s="273"/>
      <c r="L22" s="273"/>
      <c r="M22" s="273"/>
      <c r="N22" s="273"/>
    </row>
    <row r="23" spans="1:14">
      <c r="A23" s="274">
        <f>+A22+1</f>
        <v>17</v>
      </c>
      <c r="C23" s="234" t="s">
        <v>308</v>
      </c>
      <c r="D23" s="279" t="s">
        <v>325</v>
      </c>
      <c r="E23" s="280">
        <f>E7</f>
        <v>2026</v>
      </c>
      <c r="F23" s="304">
        <v>0</v>
      </c>
      <c r="G23" s="305"/>
      <c r="H23" s="300"/>
      <c r="I23" s="301"/>
      <c r="K23" s="283"/>
      <c r="L23" s="273"/>
      <c r="M23" s="273"/>
      <c r="N23" s="273"/>
    </row>
    <row r="24" spans="1:14">
      <c r="A24" s="274">
        <f t="shared" ref="A24:A35" si="2">+A23+1</f>
        <v>18</v>
      </c>
      <c r="C24" s="284" t="s">
        <v>310</v>
      </c>
      <c r="D24" s="234" t="s">
        <v>311</v>
      </c>
      <c r="E24" s="280">
        <f t="shared" ref="E24:E35" si="3">E8</f>
        <v>2027</v>
      </c>
      <c r="F24" s="304">
        <v>0</v>
      </c>
      <c r="G24" s="305"/>
      <c r="H24" s="300"/>
      <c r="I24" s="301"/>
      <c r="K24" s="273"/>
      <c r="L24" s="273"/>
      <c r="M24" s="273"/>
      <c r="N24" s="273"/>
    </row>
    <row r="25" spans="1:14">
      <c r="A25" s="274">
        <f t="shared" si="2"/>
        <v>19</v>
      </c>
      <c r="C25" s="284" t="s">
        <v>312</v>
      </c>
      <c r="D25" s="234" t="s">
        <v>311</v>
      </c>
      <c r="E25" s="280">
        <f t="shared" si="3"/>
        <v>2027</v>
      </c>
      <c r="F25" s="304">
        <v>0</v>
      </c>
      <c r="G25" s="305"/>
      <c r="H25" s="300"/>
      <c r="I25" s="301"/>
      <c r="K25" s="273"/>
      <c r="L25" s="273"/>
      <c r="M25" s="273"/>
      <c r="N25" s="273"/>
    </row>
    <row r="26" spans="1:14">
      <c r="A26" s="274">
        <f t="shared" si="2"/>
        <v>20</v>
      </c>
      <c r="C26" s="284" t="s">
        <v>313</v>
      </c>
      <c r="D26" s="234" t="s">
        <v>311</v>
      </c>
      <c r="E26" s="280">
        <f t="shared" si="3"/>
        <v>2027</v>
      </c>
      <c r="F26" s="304">
        <v>0</v>
      </c>
      <c r="G26" s="305"/>
      <c r="K26" s="273"/>
      <c r="L26" s="273"/>
      <c r="M26" s="273"/>
      <c r="N26" s="273"/>
    </row>
    <row r="27" spans="1:14">
      <c r="A27" s="274">
        <f t="shared" si="2"/>
        <v>21</v>
      </c>
      <c r="C27" s="284" t="s">
        <v>314</v>
      </c>
      <c r="D27" s="234" t="s">
        <v>311</v>
      </c>
      <c r="E27" s="280">
        <f t="shared" si="3"/>
        <v>2027</v>
      </c>
      <c r="F27" s="304">
        <v>0</v>
      </c>
      <c r="G27" s="305"/>
      <c r="K27" s="273"/>
      <c r="L27" s="273"/>
      <c r="M27" s="273"/>
      <c r="N27" s="273"/>
    </row>
    <row r="28" spans="1:14">
      <c r="A28" s="274">
        <f t="shared" si="2"/>
        <v>22</v>
      </c>
      <c r="C28" s="284" t="s">
        <v>315</v>
      </c>
      <c r="D28" s="234" t="s">
        <v>311</v>
      </c>
      <c r="E28" s="280">
        <f t="shared" si="3"/>
        <v>2027</v>
      </c>
      <c r="F28" s="304">
        <v>0</v>
      </c>
      <c r="G28" s="305"/>
      <c r="K28" s="273"/>
      <c r="L28" s="273"/>
      <c r="M28" s="273"/>
      <c r="N28" s="273"/>
    </row>
    <row r="29" spans="1:14">
      <c r="A29" s="274">
        <f t="shared" si="2"/>
        <v>23</v>
      </c>
      <c r="C29" s="284" t="s">
        <v>316</v>
      </c>
      <c r="D29" s="234" t="s">
        <v>311</v>
      </c>
      <c r="E29" s="280">
        <f t="shared" si="3"/>
        <v>2027</v>
      </c>
      <c r="F29" s="304">
        <v>0</v>
      </c>
      <c r="G29" s="305"/>
      <c r="K29" s="273"/>
      <c r="L29" s="273"/>
      <c r="M29" s="273"/>
      <c r="N29" s="273"/>
    </row>
    <row r="30" spans="1:14">
      <c r="A30" s="274">
        <f t="shared" si="2"/>
        <v>24</v>
      </c>
      <c r="C30" s="284" t="s">
        <v>317</v>
      </c>
      <c r="D30" s="234" t="s">
        <v>311</v>
      </c>
      <c r="E30" s="280">
        <f t="shared" si="3"/>
        <v>2027</v>
      </c>
      <c r="F30" s="304">
        <v>0</v>
      </c>
      <c r="G30" s="305"/>
      <c r="H30" s="300"/>
      <c r="K30" s="273"/>
      <c r="L30" s="273"/>
      <c r="M30" s="273"/>
      <c r="N30" s="273"/>
    </row>
    <row r="31" spans="1:14">
      <c r="A31" s="274">
        <f t="shared" si="2"/>
        <v>25</v>
      </c>
      <c r="C31" s="284" t="s">
        <v>318</v>
      </c>
      <c r="D31" s="234" t="s">
        <v>311</v>
      </c>
      <c r="E31" s="280">
        <f t="shared" si="3"/>
        <v>2027</v>
      </c>
      <c r="F31" s="304">
        <v>0</v>
      </c>
      <c r="G31" s="305"/>
      <c r="H31" s="300"/>
      <c r="K31" s="273"/>
      <c r="L31" s="273"/>
      <c r="M31" s="273"/>
      <c r="N31" s="273"/>
    </row>
    <row r="32" spans="1:14">
      <c r="A32" s="274">
        <f t="shared" si="2"/>
        <v>26</v>
      </c>
      <c r="C32" s="284" t="s">
        <v>319</v>
      </c>
      <c r="D32" s="234" t="s">
        <v>311</v>
      </c>
      <c r="E32" s="280">
        <f t="shared" si="3"/>
        <v>2027</v>
      </c>
      <c r="F32" s="304">
        <v>0</v>
      </c>
      <c r="G32" s="305"/>
      <c r="H32" s="300"/>
      <c r="K32" s="273"/>
      <c r="L32" s="273"/>
      <c r="M32" s="273"/>
      <c r="N32" s="273"/>
    </row>
    <row r="33" spans="1:14">
      <c r="A33" s="274">
        <f t="shared" si="2"/>
        <v>27</v>
      </c>
      <c r="C33" s="284" t="s">
        <v>326</v>
      </c>
      <c r="D33" s="234" t="s">
        <v>311</v>
      </c>
      <c r="E33" s="280">
        <f t="shared" si="3"/>
        <v>2027</v>
      </c>
      <c r="F33" s="304">
        <v>0</v>
      </c>
      <c r="G33" s="305"/>
      <c r="H33" s="300"/>
      <c r="K33" s="273"/>
      <c r="L33" s="273"/>
      <c r="M33" s="273"/>
      <c r="N33" s="273"/>
    </row>
    <row r="34" spans="1:14">
      <c r="A34" s="274">
        <f t="shared" si="2"/>
        <v>28</v>
      </c>
      <c r="C34" s="284" t="s">
        <v>321</v>
      </c>
      <c r="D34" s="234" t="s">
        <v>311</v>
      </c>
      <c r="E34" s="280">
        <f t="shared" si="3"/>
        <v>2027</v>
      </c>
      <c r="F34" s="304">
        <v>0</v>
      </c>
      <c r="G34" s="305"/>
      <c r="H34" s="300"/>
      <c r="K34" s="273"/>
      <c r="L34" s="273"/>
      <c r="M34" s="273"/>
      <c r="N34" s="273"/>
    </row>
    <row r="35" spans="1:14">
      <c r="A35" s="274">
        <f t="shared" si="2"/>
        <v>29</v>
      </c>
      <c r="C35" s="290" t="s">
        <v>308</v>
      </c>
      <c r="D35" s="291" t="s">
        <v>327</v>
      </c>
      <c r="E35" s="292">
        <f t="shared" si="3"/>
        <v>2027</v>
      </c>
      <c r="F35" s="306">
        <v>0</v>
      </c>
      <c r="G35" s="305"/>
      <c r="H35" s="287"/>
      <c r="I35" s="301"/>
    </row>
    <row r="36" spans="1:14">
      <c r="A36" s="274">
        <f>+A35+1</f>
        <v>30</v>
      </c>
      <c r="C36" s="294" t="s">
        <v>328</v>
      </c>
      <c r="D36" s="234" t="str">
        <f>"(sum lines "&amp;A23&amp;" - "&amp;A35&amp;") /13"</f>
        <v>(sum lines 17 - 29) /13</v>
      </c>
      <c r="E36" s="298"/>
      <c r="F36" s="296">
        <f>SUM(F23:F35)/13</f>
        <v>0</v>
      </c>
      <c r="G36" s="297"/>
      <c r="H36" s="297"/>
      <c r="J36" s="307"/>
      <c r="K36" s="273"/>
      <c r="L36" s="273"/>
      <c r="M36" s="273"/>
      <c r="N36" s="273"/>
    </row>
    <row r="37" spans="1:14">
      <c r="A37" s="274"/>
      <c r="C37" s="284"/>
      <c r="E37" s="308"/>
      <c r="F37" s="299"/>
      <c r="G37" s="300"/>
      <c r="H37" s="300"/>
      <c r="I37" s="301"/>
      <c r="J37" s="301"/>
      <c r="K37" s="273"/>
      <c r="L37" s="273"/>
      <c r="M37" s="273"/>
      <c r="N37" s="273"/>
    </row>
    <row r="38" spans="1:14">
      <c r="A38" s="274">
        <f>+A36+1</f>
        <v>31</v>
      </c>
      <c r="C38" s="275" t="s">
        <v>329</v>
      </c>
      <c r="D38" s="234" t="s">
        <v>67</v>
      </c>
      <c r="E38" s="302"/>
      <c r="F38" s="303"/>
      <c r="K38" s="273"/>
      <c r="L38" s="273"/>
      <c r="M38" s="273"/>
      <c r="N38" s="273"/>
    </row>
    <row r="39" spans="1:14">
      <c r="A39" s="274">
        <f>+A38+1</f>
        <v>32</v>
      </c>
      <c r="C39" s="234" t="s">
        <v>308</v>
      </c>
      <c r="D39" s="279" t="s">
        <v>330</v>
      </c>
      <c r="E39" s="280">
        <f>E23</f>
        <v>2026</v>
      </c>
      <c r="F39" s="304">
        <v>2229765.58</v>
      </c>
      <c r="G39" s="305"/>
      <c r="H39" s="300"/>
      <c r="I39" s="301"/>
      <c r="J39" s="309"/>
      <c r="K39" s="273"/>
      <c r="L39" s="273"/>
      <c r="M39" s="273"/>
      <c r="N39" s="273"/>
    </row>
    <row r="40" spans="1:14">
      <c r="A40" s="274">
        <f t="shared" ref="A40:A50" si="4">+A39+1</f>
        <v>33</v>
      </c>
      <c r="C40" s="284" t="s">
        <v>310</v>
      </c>
      <c r="D40" s="234" t="s">
        <v>311</v>
      </c>
      <c r="E40" s="280">
        <f t="shared" ref="E40:E51" si="5">E24</f>
        <v>2027</v>
      </c>
      <c r="F40" s="304">
        <v>2229765.58</v>
      </c>
      <c r="G40" s="305"/>
      <c r="H40" s="300"/>
      <c r="I40" s="301"/>
      <c r="J40" s="309"/>
      <c r="K40" s="273"/>
      <c r="L40" s="273"/>
      <c r="M40" s="273"/>
      <c r="N40" s="273"/>
    </row>
    <row r="41" spans="1:14">
      <c r="A41" s="274">
        <f t="shared" si="4"/>
        <v>34</v>
      </c>
      <c r="C41" s="284" t="s">
        <v>312</v>
      </c>
      <c r="D41" s="234" t="s">
        <v>311</v>
      </c>
      <c r="E41" s="280">
        <f t="shared" si="5"/>
        <v>2027</v>
      </c>
      <c r="F41" s="304">
        <v>2229765.58</v>
      </c>
      <c r="G41" s="305"/>
      <c r="H41" s="300"/>
      <c r="I41" s="301"/>
      <c r="J41" s="309"/>
      <c r="K41" s="273"/>
      <c r="L41" s="273"/>
      <c r="M41" s="273"/>
      <c r="N41" s="273"/>
    </row>
    <row r="42" spans="1:14">
      <c r="A42" s="274">
        <f t="shared" si="4"/>
        <v>35</v>
      </c>
      <c r="C42" s="284" t="s">
        <v>313</v>
      </c>
      <c r="D42" s="234" t="s">
        <v>311</v>
      </c>
      <c r="E42" s="280">
        <f t="shared" si="5"/>
        <v>2027</v>
      </c>
      <c r="F42" s="304">
        <v>2229765.58</v>
      </c>
      <c r="G42" s="305"/>
      <c r="H42" s="300"/>
      <c r="I42" s="301"/>
      <c r="J42" s="309"/>
      <c r="K42" s="273"/>
      <c r="L42" s="273"/>
      <c r="M42" s="273"/>
      <c r="N42" s="273"/>
    </row>
    <row r="43" spans="1:14">
      <c r="A43" s="274">
        <f t="shared" si="4"/>
        <v>36</v>
      </c>
      <c r="C43" s="284" t="s">
        <v>314</v>
      </c>
      <c r="D43" s="234" t="s">
        <v>311</v>
      </c>
      <c r="E43" s="280">
        <f t="shared" si="5"/>
        <v>2027</v>
      </c>
      <c r="F43" s="304">
        <v>2229765.58</v>
      </c>
      <c r="G43" s="305"/>
      <c r="H43" s="300"/>
      <c r="I43" s="301"/>
      <c r="J43" s="309"/>
      <c r="K43" s="273"/>
      <c r="L43" s="273"/>
      <c r="M43" s="273"/>
      <c r="N43" s="273"/>
    </row>
    <row r="44" spans="1:14">
      <c r="A44" s="274">
        <f t="shared" si="4"/>
        <v>37</v>
      </c>
      <c r="C44" s="284" t="s">
        <v>315</v>
      </c>
      <c r="D44" s="234" t="s">
        <v>311</v>
      </c>
      <c r="E44" s="280">
        <f t="shared" si="5"/>
        <v>2027</v>
      </c>
      <c r="F44" s="304">
        <v>2229765.58</v>
      </c>
      <c r="G44" s="305"/>
      <c r="H44" s="300"/>
      <c r="I44" s="301"/>
      <c r="J44" s="309"/>
      <c r="K44" s="273"/>
      <c r="L44" s="273"/>
      <c r="M44" s="273"/>
      <c r="N44" s="273"/>
    </row>
    <row r="45" spans="1:14">
      <c r="A45" s="274">
        <f t="shared" si="4"/>
        <v>38</v>
      </c>
      <c r="C45" s="284" t="s">
        <v>316</v>
      </c>
      <c r="D45" s="234" t="s">
        <v>311</v>
      </c>
      <c r="E45" s="280">
        <f t="shared" si="5"/>
        <v>2027</v>
      </c>
      <c r="F45" s="304">
        <v>2229765.58</v>
      </c>
      <c r="G45" s="305"/>
      <c r="H45" s="300"/>
      <c r="I45" s="301"/>
      <c r="J45" s="309"/>
      <c r="K45" s="273"/>
      <c r="L45" s="273"/>
      <c r="M45" s="273"/>
      <c r="N45" s="273"/>
    </row>
    <row r="46" spans="1:14">
      <c r="A46" s="274">
        <f t="shared" si="4"/>
        <v>39</v>
      </c>
      <c r="C46" s="284" t="s">
        <v>317</v>
      </c>
      <c r="D46" s="234" t="s">
        <v>311</v>
      </c>
      <c r="E46" s="280">
        <f t="shared" si="5"/>
        <v>2027</v>
      </c>
      <c r="F46" s="304">
        <v>2229765.58</v>
      </c>
      <c r="G46" s="305"/>
      <c r="H46" s="300"/>
      <c r="I46" s="301"/>
      <c r="J46" s="309"/>
      <c r="K46" s="273"/>
      <c r="L46" s="273"/>
      <c r="M46" s="273"/>
      <c r="N46" s="273"/>
    </row>
    <row r="47" spans="1:14">
      <c r="A47" s="274">
        <f t="shared" si="4"/>
        <v>40</v>
      </c>
      <c r="C47" s="284" t="s">
        <v>318</v>
      </c>
      <c r="D47" s="234" t="s">
        <v>311</v>
      </c>
      <c r="E47" s="280">
        <f t="shared" si="5"/>
        <v>2027</v>
      </c>
      <c r="F47" s="304">
        <v>2229765.58</v>
      </c>
      <c r="G47" s="305"/>
      <c r="H47" s="300"/>
      <c r="I47" s="301"/>
      <c r="J47" s="309"/>
      <c r="K47" s="273"/>
      <c r="L47" s="273"/>
      <c r="M47" s="273"/>
      <c r="N47" s="273"/>
    </row>
    <row r="48" spans="1:14">
      <c r="A48" s="274">
        <f t="shared" si="4"/>
        <v>41</v>
      </c>
      <c r="C48" s="284" t="s">
        <v>319</v>
      </c>
      <c r="D48" s="234" t="s">
        <v>311</v>
      </c>
      <c r="E48" s="280">
        <f t="shared" si="5"/>
        <v>2027</v>
      </c>
      <c r="F48" s="304">
        <v>2229765.58</v>
      </c>
      <c r="G48" s="305"/>
      <c r="H48" s="300"/>
      <c r="I48" s="301"/>
      <c r="J48" s="309"/>
      <c r="K48" s="273"/>
      <c r="L48" s="273"/>
      <c r="M48" s="273"/>
      <c r="N48" s="273"/>
    </row>
    <row r="49" spans="1:15">
      <c r="A49" s="274">
        <f t="shared" si="4"/>
        <v>42</v>
      </c>
      <c r="C49" s="284" t="s">
        <v>326</v>
      </c>
      <c r="D49" s="234" t="s">
        <v>311</v>
      </c>
      <c r="E49" s="280">
        <f t="shared" si="5"/>
        <v>2027</v>
      </c>
      <c r="F49" s="304">
        <v>2229765.58</v>
      </c>
      <c r="G49" s="305"/>
      <c r="H49" s="300"/>
      <c r="I49" s="301"/>
      <c r="J49" s="309"/>
      <c r="K49" s="273"/>
      <c r="L49" s="273"/>
      <c r="M49" s="273"/>
      <c r="N49" s="273"/>
    </row>
    <row r="50" spans="1:15">
      <c r="A50" s="274">
        <f t="shared" si="4"/>
        <v>43</v>
      </c>
      <c r="C50" s="284" t="s">
        <v>321</v>
      </c>
      <c r="D50" s="234" t="s">
        <v>311</v>
      </c>
      <c r="E50" s="280">
        <f t="shared" si="5"/>
        <v>2027</v>
      </c>
      <c r="F50" s="304">
        <v>2229765.58</v>
      </c>
      <c r="G50" s="305"/>
      <c r="H50" s="300"/>
      <c r="I50" s="301"/>
      <c r="J50" s="309"/>
      <c r="K50" s="273"/>
      <c r="L50" s="273"/>
      <c r="M50" s="273"/>
      <c r="N50" s="273"/>
    </row>
    <row r="51" spans="1:15">
      <c r="A51" s="274">
        <f>+A50+1</f>
        <v>44</v>
      </c>
      <c r="C51" s="290" t="s">
        <v>308</v>
      </c>
      <c r="D51" s="291" t="s">
        <v>331</v>
      </c>
      <c r="E51" s="292">
        <f t="shared" si="5"/>
        <v>2027</v>
      </c>
      <c r="F51" s="306">
        <v>2239932.37</v>
      </c>
      <c r="G51" s="305"/>
      <c r="H51" s="287"/>
      <c r="I51" s="287"/>
      <c r="J51" s="287"/>
    </row>
    <row r="52" spans="1:15">
      <c r="A52" s="274">
        <f>+A51+1</f>
        <v>45</v>
      </c>
      <c r="C52" s="294" t="s">
        <v>332</v>
      </c>
      <c r="D52" s="234" t="str">
        <f>"(sum lines "&amp;A39&amp;" - "&amp;A51&amp;") /13"</f>
        <v>(sum lines 32 - 44) /13</v>
      </c>
      <c r="E52" s="298"/>
      <c r="F52" s="296">
        <f>SUM(F39:F51)/13</f>
        <v>2230547.6407692302</v>
      </c>
      <c r="G52" s="297"/>
      <c r="H52" s="297"/>
      <c r="J52" s="307"/>
      <c r="K52" s="273"/>
      <c r="L52" s="273"/>
      <c r="M52" s="273"/>
      <c r="N52" s="273"/>
    </row>
    <row r="53" spans="1:15">
      <c r="A53" s="274"/>
      <c r="C53" s="284"/>
      <c r="E53" s="310"/>
      <c r="F53" s="299"/>
      <c r="G53" s="300"/>
      <c r="H53" s="300"/>
      <c r="I53" s="301"/>
      <c r="J53" s="309"/>
      <c r="K53" s="273"/>
      <c r="L53" s="273"/>
      <c r="M53" s="273"/>
      <c r="N53" s="273"/>
    </row>
    <row r="54" spans="1:15">
      <c r="A54" s="274">
        <f>+A52+1</f>
        <v>46</v>
      </c>
      <c r="C54" s="275" t="s">
        <v>333</v>
      </c>
      <c r="D54" s="279" t="str">
        <f>"(sum lines "&amp;A20&amp;", "&amp;A36&amp;", and "&amp;A52&amp;")"</f>
        <v>(sum lines 15, 30, and 45)</v>
      </c>
      <c r="E54" s="295"/>
      <c r="F54" s="311">
        <f>F20+F36+F52</f>
        <v>312505780.42461544</v>
      </c>
      <c r="G54" s="312"/>
      <c r="H54" s="312"/>
      <c r="I54" s="307"/>
      <c r="J54" s="307"/>
    </row>
    <row r="55" spans="1:15" ht="16.5" thickBot="1">
      <c r="A55" s="313"/>
      <c r="B55" s="314"/>
      <c r="C55" s="315"/>
      <c r="D55" s="316"/>
      <c r="E55" s="317"/>
      <c r="F55" s="318"/>
      <c r="G55" s="312"/>
      <c r="H55" s="312"/>
      <c r="I55" s="301"/>
      <c r="J55" s="301"/>
      <c r="K55" s="273"/>
      <c r="L55" s="273"/>
      <c r="M55" s="273"/>
      <c r="N55" s="273"/>
    </row>
    <row r="56" spans="1:15">
      <c r="A56" s="274"/>
      <c r="B56" s="233"/>
      <c r="C56" s="284"/>
      <c r="E56" s="310"/>
      <c r="F56" s="299"/>
      <c r="G56" s="300"/>
      <c r="H56" s="300"/>
      <c r="I56" s="319"/>
      <c r="J56" s="301"/>
      <c r="K56" s="273"/>
      <c r="L56" s="273"/>
      <c r="M56" s="273"/>
      <c r="N56" s="273"/>
    </row>
    <row r="57" spans="1:15" ht="16.5" thickBot="1">
      <c r="A57" s="320" t="s">
        <v>334</v>
      </c>
      <c r="F57" s="303"/>
      <c r="G57" s="287"/>
      <c r="H57" s="287"/>
    </row>
    <row r="58" spans="1:15">
      <c r="A58" s="1009" t="s">
        <v>335</v>
      </c>
      <c r="B58" s="1010"/>
      <c r="C58" s="1010"/>
      <c r="D58" s="1010"/>
      <c r="E58" s="1010"/>
      <c r="F58" s="1011"/>
      <c r="G58" s="273"/>
      <c r="H58" s="273"/>
      <c r="I58" s="273"/>
      <c r="J58" s="273"/>
      <c r="K58" s="1012"/>
      <c r="L58" s="1012"/>
      <c r="M58" s="1012"/>
      <c r="N58" s="1012"/>
    </row>
    <row r="59" spans="1:15">
      <c r="A59" s="274">
        <f>+A54+1</f>
        <v>47</v>
      </c>
      <c r="C59" s="275" t="s">
        <v>336</v>
      </c>
      <c r="D59" s="234" t="s">
        <v>67</v>
      </c>
      <c r="E59" s="233" t="s">
        <v>306</v>
      </c>
      <c r="F59" s="276" t="s">
        <v>307</v>
      </c>
      <c r="G59" s="321"/>
      <c r="H59" s="277"/>
      <c r="I59" s="322"/>
      <c r="J59" s="322"/>
      <c r="L59" s="273"/>
      <c r="M59" s="273"/>
      <c r="N59" s="273"/>
    </row>
    <row r="60" spans="1:15">
      <c r="A60" s="274">
        <f t="shared" ref="A60:A73" si="6">+A59+1</f>
        <v>48</v>
      </c>
      <c r="C60" s="234" t="s">
        <v>308</v>
      </c>
      <c r="D60" s="279" t="s">
        <v>337</v>
      </c>
      <c r="E60" s="280">
        <f>E39</f>
        <v>2026</v>
      </c>
      <c r="F60" s="281">
        <v>30688072.240000006</v>
      </c>
      <c r="G60" s="289"/>
      <c r="H60" s="285"/>
      <c r="I60" s="323"/>
      <c r="J60" s="323"/>
      <c r="K60" s="324"/>
      <c r="L60" s="283"/>
      <c r="M60" s="273"/>
      <c r="N60" s="273"/>
    </row>
    <row r="61" spans="1:15">
      <c r="A61" s="274">
        <f t="shared" si="6"/>
        <v>49</v>
      </c>
      <c r="C61" s="284" t="s">
        <v>310</v>
      </c>
      <c r="D61" s="234" t="s">
        <v>311</v>
      </c>
      <c r="E61" s="280">
        <f t="shared" ref="E61:E72" si="7">E40</f>
        <v>2027</v>
      </c>
      <c r="F61" s="281">
        <v>31116628.640000008</v>
      </c>
      <c r="G61" s="289"/>
      <c r="H61" s="285"/>
      <c r="I61" s="323"/>
      <c r="J61" s="323"/>
      <c r="K61" s="324"/>
      <c r="L61" s="273"/>
      <c r="M61" s="273"/>
      <c r="N61" s="283"/>
      <c r="O61" s="325"/>
    </row>
    <row r="62" spans="1:15">
      <c r="A62" s="274">
        <f t="shared" si="6"/>
        <v>50</v>
      </c>
      <c r="B62" s="233"/>
      <c r="C62" s="284" t="s">
        <v>312</v>
      </c>
      <c r="D62" s="234" t="s">
        <v>311</v>
      </c>
      <c r="E62" s="280">
        <f t="shared" si="7"/>
        <v>2027</v>
      </c>
      <c r="F62" s="281">
        <v>31545196.860000003</v>
      </c>
      <c r="G62" s="289"/>
      <c r="H62" s="285"/>
      <c r="I62" s="323"/>
      <c r="J62" s="323"/>
      <c r="K62" s="324"/>
      <c r="L62" s="273"/>
      <c r="M62" s="273"/>
      <c r="N62" s="283"/>
      <c r="O62" s="325"/>
    </row>
    <row r="63" spans="1:15">
      <c r="A63" s="274">
        <f t="shared" si="6"/>
        <v>51</v>
      </c>
      <c r="B63" s="233"/>
      <c r="C63" s="284" t="s">
        <v>313</v>
      </c>
      <c r="D63" s="234" t="s">
        <v>311</v>
      </c>
      <c r="E63" s="280">
        <f t="shared" si="7"/>
        <v>2027</v>
      </c>
      <c r="F63" s="281">
        <v>31973777.600000001</v>
      </c>
      <c r="G63" s="289"/>
      <c r="H63" s="285"/>
      <c r="I63" s="323"/>
      <c r="J63" s="323"/>
      <c r="K63" s="324"/>
      <c r="L63" s="273"/>
      <c r="M63" s="273"/>
      <c r="N63" s="283"/>
      <c r="O63" s="325"/>
    </row>
    <row r="64" spans="1:15">
      <c r="A64" s="274">
        <f t="shared" si="6"/>
        <v>52</v>
      </c>
      <c r="C64" s="284" t="s">
        <v>314</v>
      </c>
      <c r="D64" s="234" t="s">
        <v>311</v>
      </c>
      <c r="E64" s="280">
        <f t="shared" si="7"/>
        <v>2027</v>
      </c>
      <c r="F64" s="281">
        <v>32402371.599999998</v>
      </c>
      <c r="G64" s="289"/>
      <c r="H64" s="285"/>
      <c r="I64" s="323"/>
      <c r="J64" s="323"/>
      <c r="K64" s="324"/>
      <c r="L64" s="273"/>
      <c r="M64" s="273"/>
      <c r="N64" s="283"/>
      <c r="O64" s="325"/>
    </row>
    <row r="65" spans="1:15">
      <c r="A65" s="274">
        <f t="shared" si="6"/>
        <v>53</v>
      </c>
      <c r="C65" s="284" t="s">
        <v>315</v>
      </c>
      <c r="D65" s="234" t="s">
        <v>311</v>
      </c>
      <c r="E65" s="280">
        <f t="shared" si="7"/>
        <v>2027</v>
      </c>
      <c r="F65" s="281">
        <v>32830978.219999999</v>
      </c>
      <c r="G65" s="289"/>
      <c r="H65" s="285"/>
      <c r="I65" s="323"/>
      <c r="J65" s="323"/>
      <c r="K65" s="324"/>
      <c r="N65" s="283"/>
      <c r="O65" s="325"/>
    </row>
    <row r="66" spans="1:15">
      <c r="A66" s="274">
        <f t="shared" si="6"/>
        <v>54</v>
      </c>
      <c r="C66" s="284" t="s">
        <v>316</v>
      </c>
      <c r="D66" s="234" t="s">
        <v>311</v>
      </c>
      <c r="E66" s="280">
        <f t="shared" si="7"/>
        <v>2027</v>
      </c>
      <c r="F66" s="281">
        <v>33263272.570000008</v>
      </c>
      <c r="G66" s="289"/>
      <c r="H66" s="285"/>
      <c r="I66" s="323"/>
      <c r="J66" s="323"/>
      <c r="K66" s="324"/>
      <c r="L66" s="273"/>
      <c r="M66" s="273"/>
      <c r="N66" s="283"/>
      <c r="O66" s="325"/>
    </row>
    <row r="67" spans="1:15">
      <c r="A67" s="274">
        <f t="shared" si="6"/>
        <v>55</v>
      </c>
      <c r="C67" s="284" t="s">
        <v>317</v>
      </c>
      <c r="D67" s="234" t="s">
        <v>311</v>
      </c>
      <c r="E67" s="280">
        <f t="shared" si="7"/>
        <v>2027</v>
      </c>
      <c r="F67" s="281">
        <v>33699362.210000008</v>
      </c>
      <c r="G67" s="289"/>
      <c r="H67" s="285"/>
      <c r="I67" s="323"/>
      <c r="J67" s="323"/>
      <c r="K67" s="324"/>
      <c r="L67" s="273"/>
      <c r="M67" s="273"/>
      <c r="N67" s="283"/>
      <c r="O67" s="325"/>
    </row>
    <row r="68" spans="1:15">
      <c r="A68" s="274">
        <f t="shared" si="6"/>
        <v>56</v>
      </c>
      <c r="B68" s="233"/>
      <c r="C68" s="284" t="s">
        <v>318</v>
      </c>
      <c r="D68" s="234" t="s">
        <v>311</v>
      </c>
      <c r="E68" s="280">
        <f t="shared" si="7"/>
        <v>2027</v>
      </c>
      <c r="F68" s="281">
        <v>34140568.38000001</v>
      </c>
      <c r="G68" s="289"/>
      <c r="H68" s="285"/>
      <c r="I68" s="323"/>
      <c r="J68" s="323"/>
      <c r="K68" s="324"/>
      <c r="L68" s="273"/>
      <c r="M68" s="273"/>
      <c r="N68" s="283"/>
      <c r="O68" s="325"/>
    </row>
    <row r="69" spans="1:15">
      <c r="A69" s="274">
        <f t="shared" si="6"/>
        <v>57</v>
      </c>
      <c r="B69" s="233"/>
      <c r="C69" s="284" t="s">
        <v>319</v>
      </c>
      <c r="D69" s="234" t="s">
        <v>311</v>
      </c>
      <c r="E69" s="280">
        <f t="shared" si="7"/>
        <v>2027</v>
      </c>
      <c r="F69" s="281">
        <v>34586815.589999996</v>
      </c>
      <c r="G69" s="289"/>
      <c r="H69" s="285"/>
      <c r="I69" s="323"/>
      <c r="J69" s="323"/>
      <c r="K69" s="324"/>
      <c r="L69" s="273"/>
      <c r="M69" s="273"/>
      <c r="N69" s="283"/>
      <c r="O69" s="325"/>
    </row>
    <row r="70" spans="1:15">
      <c r="A70" s="274">
        <f t="shared" si="6"/>
        <v>58</v>
      </c>
      <c r="C70" s="284" t="s">
        <v>326</v>
      </c>
      <c r="D70" s="234" t="s">
        <v>311</v>
      </c>
      <c r="E70" s="280">
        <f t="shared" si="7"/>
        <v>2027</v>
      </c>
      <c r="F70" s="281">
        <v>35033121.740000002</v>
      </c>
      <c r="G70" s="289"/>
      <c r="H70" s="285"/>
      <c r="I70" s="323"/>
      <c r="J70" s="323"/>
      <c r="K70" s="324"/>
      <c r="L70" s="273"/>
      <c r="M70" s="273"/>
      <c r="N70" s="283"/>
      <c r="O70" s="325"/>
    </row>
    <row r="71" spans="1:15">
      <c r="A71" s="274">
        <f t="shared" si="6"/>
        <v>59</v>
      </c>
      <c r="C71" s="284" t="s">
        <v>321</v>
      </c>
      <c r="D71" s="234" t="s">
        <v>311</v>
      </c>
      <c r="E71" s="280">
        <f t="shared" si="7"/>
        <v>2027</v>
      </c>
      <c r="F71" s="281">
        <v>35479459.909999996</v>
      </c>
      <c r="G71" s="289"/>
      <c r="H71" s="285"/>
      <c r="I71" s="323"/>
      <c r="J71" s="323"/>
      <c r="K71" s="324"/>
      <c r="L71" s="273"/>
      <c r="M71" s="273"/>
      <c r="N71" s="283"/>
      <c r="O71" s="325"/>
    </row>
    <row r="72" spans="1:15">
      <c r="A72" s="274">
        <f t="shared" si="6"/>
        <v>60</v>
      </c>
      <c r="C72" s="290" t="s">
        <v>308</v>
      </c>
      <c r="D72" s="291" t="s">
        <v>338</v>
      </c>
      <c r="E72" s="292">
        <f t="shared" si="7"/>
        <v>2027</v>
      </c>
      <c r="F72" s="293">
        <v>36710867.329999998</v>
      </c>
      <c r="G72" s="289"/>
      <c r="H72" s="285"/>
      <c r="I72" s="323"/>
      <c r="J72" s="323"/>
      <c r="K72" s="324"/>
      <c r="L72" s="287"/>
      <c r="N72" s="283"/>
      <c r="O72" s="325"/>
    </row>
    <row r="73" spans="1:15">
      <c r="A73" s="274">
        <f t="shared" si="6"/>
        <v>61</v>
      </c>
      <c r="C73" s="294" t="s">
        <v>339</v>
      </c>
      <c r="D73" s="234" t="str">
        <f>"(sum lines "&amp;A60&amp;"-"&amp;A72&amp;") /13"</f>
        <v>(sum lines 48-60) /13</v>
      </c>
      <c r="E73" s="298"/>
      <c r="F73" s="296">
        <f>SUM(F60:F72)/13</f>
        <v>33343884.068461541</v>
      </c>
      <c r="G73" s="326"/>
      <c r="H73" s="287"/>
      <c r="I73" s="327"/>
      <c r="J73" s="327"/>
      <c r="K73" s="287"/>
      <c r="L73" s="287"/>
      <c r="M73" s="287"/>
      <c r="N73" s="287"/>
      <c r="O73" s="287"/>
    </row>
    <row r="74" spans="1:15">
      <c r="A74" s="274"/>
      <c r="B74" s="233"/>
      <c r="C74" s="284"/>
      <c r="E74" s="298"/>
      <c r="F74" s="299"/>
      <c r="G74" s="328"/>
      <c r="H74" s="300"/>
      <c r="I74" s="329"/>
      <c r="J74" s="301"/>
      <c r="K74" s="273"/>
      <c r="L74" s="273"/>
      <c r="M74" s="273"/>
      <c r="N74" s="273"/>
    </row>
    <row r="75" spans="1:15">
      <c r="A75" s="274">
        <f>+A73+1</f>
        <v>62</v>
      </c>
      <c r="C75" s="275" t="s">
        <v>340</v>
      </c>
      <c r="D75" s="234" t="s">
        <v>67</v>
      </c>
      <c r="E75" s="302"/>
      <c r="F75" s="247"/>
      <c r="G75" s="330"/>
      <c r="H75" s="330"/>
      <c r="I75" s="330"/>
      <c r="J75" s="330"/>
      <c r="K75" s="330"/>
      <c r="L75" s="330"/>
      <c r="M75" s="330"/>
      <c r="N75" s="330"/>
      <c r="O75" s="330"/>
    </row>
    <row r="76" spans="1:15">
      <c r="A76" s="274">
        <f>+A75+1</f>
        <v>63</v>
      </c>
      <c r="C76" s="234" t="s">
        <v>308</v>
      </c>
      <c r="D76" s="279" t="s">
        <v>341</v>
      </c>
      <c r="E76" s="280">
        <f>E60</f>
        <v>2026</v>
      </c>
      <c r="F76" s="304">
        <v>3015741.77</v>
      </c>
      <c r="G76" s="300"/>
      <c r="H76" s="331"/>
      <c r="I76" s="287"/>
      <c r="J76" s="309"/>
      <c r="K76" s="273"/>
      <c r="L76" s="273"/>
      <c r="M76" s="273"/>
      <c r="N76" s="273"/>
    </row>
    <row r="77" spans="1:15">
      <c r="A77" s="274">
        <f t="shared" ref="A77:A88" si="8">+A76+1</f>
        <v>64</v>
      </c>
      <c r="C77" s="284" t="s">
        <v>310</v>
      </c>
      <c r="D77" s="234" t="s">
        <v>311</v>
      </c>
      <c r="E77" s="280">
        <f t="shared" ref="E77:E88" si="9">E61</f>
        <v>2027</v>
      </c>
      <c r="F77" s="304">
        <v>3015741.77</v>
      </c>
      <c r="G77" s="300"/>
      <c r="H77" s="300"/>
      <c r="I77" s="301"/>
      <c r="J77" s="309"/>
      <c r="K77" s="273"/>
      <c r="L77" s="273"/>
      <c r="M77" s="273"/>
      <c r="N77" s="273"/>
    </row>
    <row r="78" spans="1:15">
      <c r="A78" s="274">
        <f t="shared" si="8"/>
        <v>65</v>
      </c>
      <c r="C78" s="284" t="s">
        <v>312</v>
      </c>
      <c r="D78" s="234" t="s">
        <v>311</v>
      </c>
      <c r="E78" s="280">
        <f t="shared" si="9"/>
        <v>2027</v>
      </c>
      <c r="F78" s="304">
        <v>3015741.77</v>
      </c>
      <c r="G78" s="300"/>
      <c r="H78" s="300"/>
      <c r="I78" s="301"/>
      <c r="J78" s="309"/>
      <c r="K78" s="273"/>
      <c r="L78" s="273"/>
      <c r="M78" s="273"/>
      <c r="N78" s="273"/>
    </row>
    <row r="79" spans="1:15">
      <c r="A79" s="274">
        <f t="shared" si="8"/>
        <v>66</v>
      </c>
      <c r="C79" s="284" t="s">
        <v>313</v>
      </c>
      <c r="D79" s="234" t="s">
        <v>311</v>
      </c>
      <c r="E79" s="280">
        <f t="shared" si="9"/>
        <v>2027</v>
      </c>
      <c r="F79" s="304">
        <v>3015741.77</v>
      </c>
      <c r="G79" s="300"/>
      <c r="H79" s="300"/>
      <c r="I79" s="301"/>
      <c r="J79" s="309"/>
      <c r="K79" s="273"/>
      <c r="L79" s="273"/>
      <c r="M79" s="273"/>
      <c r="N79" s="273"/>
    </row>
    <row r="80" spans="1:15">
      <c r="A80" s="274">
        <f t="shared" si="8"/>
        <v>67</v>
      </c>
      <c r="C80" s="284" t="s">
        <v>314</v>
      </c>
      <c r="D80" s="234" t="s">
        <v>311</v>
      </c>
      <c r="E80" s="280">
        <f t="shared" si="9"/>
        <v>2027</v>
      </c>
      <c r="F80" s="304">
        <v>3015741.77</v>
      </c>
      <c r="G80" s="300"/>
      <c r="H80" s="300"/>
      <c r="I80" s="301"/>
      <c r="J80" s="309"/>
      <c r="K80" s="273"/>
      <c r="L80" s="273"/>
      <c r="M80" s="273"/>
      <c r="N80" s="273"/>
    </row>
    <row r="81" spans="1:14">
      <c r="A81" s="274">
        <f t="shared" si="8"/>
        <v>68</v>
      </c>
      <c r="C81" s="284" t="s">
        <v>315</v>
      </c>
      <c r="D81" s="234" t="s">
        <v>311</v>
      </c>
      <c r="E81" s="280">
        <f t="shared" si="9"/>
        <v>2027</v>
      </c>
      <c r="F81" s="304">
        <v>3015741.77</v>
      </c>
      <c r="G81" s="300"/>
      <c r="H81" s="300"/>
      <c r="I81" s="301"/>
      <c r="J81" s="309"/>
      <c r="K81" s="273"/>
      <c r="L81" s="273"/>
      <c r="M81" s="273"/>
      <c r="N81" s="273"/>
    </row>
    <row r="82" spans="1:14">
      <c r="A82" s="274">
        <f t="shared" si="8"/>
        <v>69</v>
      </c>
      <c r="C82" s="284" t="s">
        <v>316</v>
      </c>
      <c r="D82" s="234" t="s">
        <v>311</v>
      </c>
      <c r="E82" s="280">
        <f t="shared" si="9"/>
        <v>2027</v>
      </c>
      <c r="F82" s="304">
        <v>3015741.77</v>
      </c>
      <c r="G82" s="300"/>
      <c r="H82" s="300"/>
      <c r="I82" s="301"/>
      <c r="J82" s="309"/>
      <c r="K82" s="273"/>
      <c r="L82" s="273"/>
      <c r="M82" s="273"/>
      <c r="N82" s="273"/>
    </row>
    <row r="83" spans="1:14">
      <c r="A83" s="274">
        <f t="shared" si="8"/>
        <v>70</v>
      </c>
      <c r="C83" s="284" t="s">
        <v>317</v>
      </c>
      <c r="D83" s="234" t="s">
        <v>311</v>
      </c>
      <c r="E83" s="280">
        <f t="shared" si="9"/>
        <v>2027</v>
      </c>
      <c r="F83" s="304">
        <v>3015741.77</v>
      </c>
      <c r="G83" s="300"/>
      <c r="H83" s="300"/>
      <c r="I83" s="301"/>
      <c r="J83" s="309"/>
      <c r="K83" s="273"/>
      <c r="L83" s="273"/>
      <c r="M83" s="273"/>
      <c r="N83" s="273"/>
    </row>
    <row r="84" spans="1:14">
      <c r="A84" s="274">
        <f t="shared" si="8"/>
        <v>71</v>
      </c>
      <c r="C84" s="284" t="s">
        <v>318</v>
      </c>
      <c r="D84" s="234" t="s">
        <v>311</v>
      </c>
      <c r="E84" s="280">
        <f t="shared" si="9"/>
        <v>2027</v>
      </c>
      <c r="F84" s="304">
        <v>3015741.77</v>
      </c>
      <c r="G84" s="300"/>
      <c r="H84" s="300"/>
      <c r="I84" s="300"/>
      <c r="J84" s="300"/>
      <c r="K84" s="273"/>
      <c r="L84" s="273"/>
      <c r="M84" s="273"/>
      <c r="N84" s="273"/>
    </row>
    <row r="85" spans="1:14">
      <c r="A85" s="274">
        <f t="shared" si="8"/>
        <v>72</v>
      </c>
      <c r="C85" s="284" t="s">
        <v>319</v>
      </c>
      <c r="D85" s="234" t="s">
        <v>311</v>
      </c>
      <c r="E85" s="280">
        <f t="shared" si="9"/>
        <v>2027</v>
      </c>
      <c r="F85" s="304">
        <v>3015741.77</v>
      </c>
      <c r="G85" s="300"/>
      <c r="H85" s="301"/>
      <c r="I85" s="309"/>
      <c r="J85" s="273"/>
      <c r="K85" s="273"/>
      <c r="L85" s="273"/>
      <c r="M85" s="273"/>
    </row>
    <row r="86" spans="1:14">
      <c r="A86" s="274">
        <f t="shared" si="8"/>
        <v>73</v>
      </c>
      <c r="C86" s="284" t="s">
        <v>320</v>
      </c>
      <c r="D86" s="234" t="s">
        <v>311</v>
      </c>
      <c r="E86" s="280">
        <f t="shared" si="9"/>
        <v>2027</v>
      </c>
      <c r="F86" s="304">
        <v>3015741.77</v>
      </c>
      <c r="G86" s="300"/>
      <c r="H86" s="301"/>
      <c r="I86" s="309"/>
      <c r="J86" s="273"/>
      <c r="K86" s="273"/>
      <c r="L86" s="273"/>
      <c r="M86" s="273"/>
    </row>
    <row r="87" spans="1:14">
      <c r="A87" s="274">
        <f t="shared" si="8"/>
        <v>74</v>
      </c>
      <c r="C87" s="284" t="s">
        <v>321</v>
      </c>
      <c r="D87" s="234" t="s">
        <v>311</v>
      </c>
      <c r="E87" s="280">
        <f t="shared" si="9"/>
        <v>2027</v>
      </c>
      <c r="F87" s="304">
        <v>3015741.77</v>
      </c>
      <c r="G87" s="300"/>
      <c r="H87" s="301"/>
      <c r="I87" s="309"/>
      <c r="J87" s="273"/>
      <c r="K87" s="273"/>
      <c r="L87" s="273"/>
      <c r="M87" s="273"/>
    </row>
    <row r="88" spans="1:14">
      <c r="A88" s="274">
        <f t="shared" si="8"/>
        <v>75</v>
      </c>
      <c r="C88" s="290" t="s">
        <v>308</v>
      </c>
      <c r="D88" s="291" t="s">
        <v>342</v>
      </c>
      <c r="E88" s="292">
        <f t="shared" si="9"/>
        <v>2027</v>
      </c>
      <c r="F88" s="306">
        <v>3015741.77</v>
      </c>
      <c r="G88" s="332"/>
    </row>
    <row r="89" spans="1:14">
      <c r="A89" s="274">
        <f>+A88+1</f>
        <v>76</v>
      </c>
      <c r="C89" s="294" t="s">
        <v>343</v>
      </c>
      <c r="D89" s="234" t="str">
        <f>"(sum lines "&amp;A76&amp;" - "&amp;A88&amp;") /13"</f>
        <v>(sum lines 63 - 75) /13</v>
      </c>
      <c r="E89" s="298"/>
      <c r="F89" s="296">
        <f>SUM(F76:F88)/13</f>
        <v>3015741.7700000005</v>
      </c>
      <c r="G89" s="287"/>
      <c r="J89" s="273"/>
      <c r="K89" s="273"/>
      <c r="L89" s="273"/>
      <c r="M89" s="273"/>
    </row>
    <row r="90" spans="1:14">
      <c r="A90" s="274"/>
      <c r="C90" s="284"/>
      <c r="E90" s="308"/>
      <c r="F90" s="299"/>
      <c r="G90" s="300"/>
      <c r="H90" s="301"/>
      <c r="I90" s="301"/>
      <c r="J90" s="273"/>
      <c r="K90" s="273"/>
      <c r="L90" s="273"/>
      <c r="M90" s="273"/>
    </row>
    <row r="91" spans="1:14">
      <c r="A91" s="274">
        <f>+A89+1</f>
        <v>77</v>
      </c>
      <c r="C91" s="275" t="s">
        <v>344</v>
      </c>
      <c r="D91" s="234" t="s">
        <v>67</v>
      </c>
      <c r="E91" s="302"/>
      <c r="F91" s="303"/>
      <c r="J91" s="273"/>
      <c r="K91" s="273"/>
      <c r="L91" s="273"/>
      <c r="M91" s="273"/>
    </row>
    <row r="92" spans="1:14">
      <c r="A92" s="274">
        <f>+A91+1</f>
        <v>78</v>
      </c>
      <c r="C92" s="234" t="s">
        <v>308</v>
      </c>
      <c r="D92" s="279" t="s">
        <v>345</v>
      </c>
      <c r="E92" s="280">
        <f>E76</f>
        <v>2026</v>
      </c>
      <c r="F92" s="304">
        <v>821125.54</v>
      </c>
      <c r="G92" s="300"/>
      <c r="H92" s="301"/>
      <c r="I92" s="309"/>
      <c r="J92" s="273"/>
      <c r="K92" s="273"/>
      <c r="L92" s="273"/>
      <c r="M92" s="273"/>
    </row>
    <row r="93" spans="1:14">
      <c r="A93" s="274">
        <f t="shared" ref="A93:A104" si="10">+A92+1</f>
        <v>79</v>
      </c>
      <c r="C93" s="284" t="s">
        <v>310</v>
      </c>
      <c r="D93" s="234" t="s">
        <v>311</v>
      </c>
      <c r="E93" s="280">
        <f t="shared" ref="E93:E104" si="11">E77</f>
        <v>2027</v>
      </c>
      <c r="F93" s="304">
        <v>830478.07000000007</v>
      </c>
      <c r="G93" s="300"/>
      <c r="H93" s="301"/>
      <c r="I93" s="309"/>
      <c r="J93" s="273"/>
      <c r="K93" s="273"/>
      <c r="L93" s="273"/>
      <c r="M93" s="273"/>
    </row>
    <row r="94" spans="1:14">
      <c r="A94" s="274">
        <f t="shared" si="10"/>
        <v>80</v>
      </c>
      <c r="C94" s="284" t="s">
        <v>312</v>
      </c>
      <c r="D94" s="234" t="s">
        <v>311</v>
      </c>
      <c r="E94" s="280">
        <f t="shared" si="11"/>
        <v>2027</v>
      </c>
      <c r="F94" s="304">
        <v>839620.32000000007</v>
      </c>
      <c r="G94" s="300"/>
      <c r="H94" s="301"/>
      <c r="I94" s="309"/>
      <c r="J94" s="273"/>
      <c r="K94" s="273"/>
      <c r="L94" s="273"/>
      <c r="M94" s="273"/>
    </row>
    <row r="95" spans="1:14">
      <c r="A95" s="274">
        <f t="shared" si="10"/>
        <v>81</v>
      </c>
      <c r="C95" s="284" t="s">
        <v>313</v>
      </c>
      <c r="D95" s="234" t="s">
        <v>311</v>
      </c>
      <c r="E95" s="280">
        <f t="shared" si="11"/>
        <v>2027</v>
      </c>
      <c r="F95" s="304">
        <v>842370.3400000002</v>
      </c>
      <c r="G95" s="300"/>
      <c r="H95" s="301"/>
      <c r="I95" s="309"/>
      <c r="J95" s="273"/>
      <c r="K95" s="273"/>
      <c r="L95" s="273"/>
      <c r="M95" s="273"/>
    </row>
    <row r="96" spans="1:14">
      <c r="A96" s="274">
        <f t="shared" si="10"/>
        <v>82</v>
      </c>
      <c r="C96" s="284" t="s">
        <v>314</v>
      </c>
      <c r="D96" s="234" t="s">
        <v>311</v>
      </c>
      <c r="E96" s="280">
        <f t="shared" si="11"/>
        <v>2027</v>
      </c>
      <c r="F96" s="304">
        <v>845120.3600000001</v>
      </c>
      <c r="G96" s="300"/>
      <c r="H96" s="301"/>
      <c r="I96" s="309"/>
      <c r="J96" s="273"/>
      <c r="K96" s="273"/>
      <c r="L96" s="273"/>
      <c r="M96" s="273"/>
    </row>
    <row r="97" spans="1:13">
      <c r="A97" s="274">
        <f t="shared" si="10"/>
        <v>83</v>
      </c>
      <c r="C97" s="284" t="s">
        <v>315</v>
      </c>
      <c r="D97" s="234" t="s">
        <v>311</v>
      </c>
      <c r="E97" s="280">
        <f t="shared" si="11"/>
        <v>2027</v>
      </c>
      <c r="F97" s="304">
        <v>847870.38000000012</v>
      </c>
      <c r="G97" s="300"/>
      <c r="H97" s="301"/>
      <c r="I97" s="309"/>
      <c r="J97" s="273"/>
      <c r="K97" s="273"/>
      <c r="L97" s="273"/>
      <c r="M97" s="273"/>
    </row>
    <row r="98" spans="1:13">
      <c r="A98" s="274">
        <f t="shared" si="10"/>
        <v>84</v>
      </c>
      <c r="C98" s="284" t="s">
        <v>316</v>
      </c>
      <c r="D98" s="234" t="s">
        <v>311</v>
      </c>
      <c r="E98" s="280">
        <f t="shared" si="11"/>
        <v>2027</v>
      </c>
      <c r="F98" s="304">
        <v>850620.40000000014</v>
      </c>
      <c r="G98" s="300"/>
      <c r="H98" s="301"/>
      <c r="I98" s="309"/>
      <c r="J98" s="273"/>
      <c r="K98" s="273"/>
      <c r="L98" s="273"/>
      <c r="M98" s="273"/>
    </row>
    <row r="99" spans="1:13">
      <c r="A99" s="274">
        <f t="shared" si="10"/>
        <v>85</v>
      </c>
      <c r="C99" s="284" t="s">
        <v>317</v>
      </c>
      <c r="D99" s="234" t="s">
        <v>311</v>
      </c>
      <c r="E99" s="280">
        <f t="shared" si="11"/>
        <v>2027</v>
      </c>
      <c r="F99" s="304">
        <v>853370.42000000016</v>
      </c>
      <c r="G99" s="300"/>
      <c r="H99" s="301"/>
      <c r="I99" s="309"/>
      <c r="J99" s="273"/>
      <c r="K99" s="273"/>
      <c r="L99" s="273"/>
      <c r="M99" s="273"/>
    </row>
    <row r="100" spans="1:13">
      <c r="A100" s="274">
        <f t="shared" si="10"/>
        <v>86</v>
      </c>
      <c r="C100" s="284" t="s">
        <v>318</v>
      </c>
      <c r="D100" s="234" t="s">
        <v>311</v>
      </c>
      <c r="E100" s="280">
        <f t="shared" si="11"/>
        <v>2027</v>
      </c>
      <c r="F100" s="304">
        <v>856120.44000000018</v>
      </c>
      <c r="G100" s="300"/>
      <c r="H100" s="301"/>
      <c r="I100" s="309"/>
      <c r="J100" s="273"/>
      <c r="K100" s="273"/>
      <c r="L100" s="273"/>
      <c r="M100" s="273"/>
    </row>
    <row r="101" spans="1:13">
      <c r="A101" s="274">
        <f t="shared" si="10"/>
        <v>87</v>
      </c>
      <c r="C101" s="284" t="s">
        <v>319</v>
      </c>
      <c r="D101" s="234" t="s">
        <v>311</v>
      </c>
      <c r="E101" s="280">
        <f t="shared" si="11"/>
        <v>2027</v>
      </c>
      <c r="F101" s="304">
        <v>858870.46000000008</v>
      </c>
      <c r="G101" s="300"/>
      <c r="H101" s="301"/>
      <c r="I101" s="309"/>
      <c r="J101" s="273"/>
      <c r="K101" s="273"/>
      <c r="L101" s="273"/>
      <c r="M101" s="273"/>
    </row>
    <row r="102" spans="1:13">
      <c r="A102" s="274">
        <f t="shared" si="10"/>
        <v>88</v>
      </c>
      <c r="C102" s="284" t="s">
        <v>320</v>
      </c>
      <c r="D102" s="234" t="s">
        <v>311</v>
      </c>
      <c r="E102" s="280">
        <f t="shared" si="11"/>
        <v>2027</v>
      </c>
      <c r="F102" s="304">
        <v>861620.4800000001</v>
      </c>
      <c r="G102" s="300"/>
      <c r="H102" s="301"/>
      <c r="I102" s="309"/>
      <c r="J102" s="273"/>
      <c r="K102" s="273"/>
      <c r="L102" s="273"/>
      <c r="M102" s="273"/>
    </row>
    <row r="103" spans="1:13">
      <c r="A103" s="274">
        <f t="shared" si="10"/>
        <v>89</v>
      </c>
      <c r="C103" s="284" t="s">
        <v>321</v>
      </c>
      <c r="D103" s="234" t="s">
        <v>311</v>
      </c>
      <c r="E103" s="280">
        <f t="shared" si="11"/>
        <v>2027</v>
      </c>
      <c r="F103" s="304">
        <v>864370.50000000023</v>
      </c>
      <c r="G103" s="300"/>
      <c r="H103" s="301"/>
      <c r="I103" s="309"/>
      <c r="J103" s="273"/>
      <c r="K103" s="273"/>
      <c r="L103" s="273"/>
      <c r="M103" s="273"/>
    </row>
    <row r="104" spans="1:13">
      <c r="A104" s="274">
        <f t="shared" si="10"/>
        <v>90</v>
      </c>
      <c r="C104" s="290" t="s">
        <v>308</v>
      </c>
      <c r="D104" s="291" t="s">
        <v>346</v>
      </c>
      <c r="E104" s="292">
        <f t="shared" si="11"/>
        <v>2027</v>
      </c>
      <c r="F104" s="306">
        <v>867599.17</v>
      </c>
      <c r="G104" s="332"/>
    </row>
    <row r="105" spans="1:13">
      <c r="A105" s="274">
        <f>+A104+1</f>
        <v>91</v>
      </c>
      <c r="C105" s="294" t="s">
        <v>347</v>
      </c>
      <c r="D105" s="234" t="str">
        <f>"(sum lines "&amp;A92&amp;" - "&amp;A104&amp;") /13"</f>
        <v>(sum lines 78 - 90) /13</v>
      </c>
      <c r="E105" s="298"/>
      <c r="F105" s="296">
        <f>SUM(F92:F104)/13</f>
        <v>849165.913846154</v>
      </c>
      <c r="G105" s="287"/>
      <c r="J105" s="273"/>
      <c r="K105" s="273"/>
      <c r="L105" s="273"/>
      <c r="M105" s="273"/>
    </row>
    <row r="106" spans="1:13">
      <c r="A106" s="274"/>
      <c r="C106" s="284"/>
      <c r="D106" s="279"/>
      <c r="E106" s="308"/>
      <c r="F106" s="333"/>
    </row>
    <row r="107" spans="1:13">
      <c r="A107" s="274">
        <f>+A105+1</f>
        <v>92</v>
      </c>
      <c r="C107" s="275" t="s">
        <v>348</v>
      </c>
      <c r="D107" s="279" t="str">
        <f>"(sum lines "&amp;A73&amp;", "&amp;A89&amp;", and "&amp;A105&amp;")"</f>
        <v>(sum lines 61, 76, and 91)</v>
      </c>
      <c r="E107" s="295"/>
      <c r="F107" s="311">
        <f>F73+F89+F105</f>
        <v>37208791.752307698</v>
      </c>
      <c r="G107" s="312"/>
      <c r="H107" s="334"/>
    </row>
    <row r="108" spans="1:13">
      <c r="B108" s="233"/>
      <c r="C108" s="284"/>
      <c r="E108" s="310"/>
      <c r="F108" s="284"/>
      <c r="G108" s="312"/>
      <c r="H108" s="301"/>
      <c r="I108" s="301"/>
      <c r="J108" s="273"/>
      <c r="K108" s="273"/>
      <c r="L108" s="273"/>
      <c r="M108" s="273"/>
    </row>
    <row r="109" spans="1:13">
      <c r="B109" s="233"/>
      <c r="C109" s="284" t="s">
        <v>349</v>
      </c>
      <c r="E109" s="310"/>
      <c r="F109" s="284"/>
      <c r="G109" s="312"/>
      <c r="H109" s="301"/>
      <c r="I109" s="301"/>
      <c r="J109" s="273"/>
      <c r="K109" s="273"/>
      <c r="L109" s="273"/>
      <c r="M109" s="273"/>
    </row>
    <row r="110" spans="1:13">
      <c r="C110" s="234" t="s">
        <v>350</v>
      </c>
    </row>
    <row r="162" spans="8:8">
      <c r="H162" s="335"/>
    </row>
  </sheetData>
  <mergeCells count="6">
    <mergeCell ref="A1:F1"/>
    <mergeCell ref="A2:F2"/>
    <mergeCell ref="A5:F5"/>
    <mergeCell ref="J5:M5"/>
    <mergeCell ref="A58:F58"/>
    <mergeCell ref="K58:N58"/>
  </mergeCells>
  <pageMargins left="0.7" right="0.7" top="0.75" bottom="0.75" header="0.3" footer="0.3"/>
  <pageSetup scale="71" fitToHeight="2" orientation="portrait" r:id="rId1"/>
  <rowBreaks count="1" manualBreakCount="1">
    <brk id="55" max="5" man="1"/>
  </rowBreaks>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18C79-C4F7-4B44-B8A1-7FA8007C0E17}">
  <dimension ref="A1:V118"/>
  <sheetViews>
    <sheetView view="pageBreakPreview" zoomScale="90" zoomScaleNormal="100" zoomScaleSheetLayoutView="90" workbookViewId="0">
      <selection sqref="A1:M1"/>
    </sheetView>
  </sheetViews>
  <sheetFormatPr defaultColWidth="8.77734375" defaultRowHeight="15.75"/>
  <cols>
    <col min="1" max="1" width="5" style="233" customWidth="1"/>
    <col min="2" max="2" width="3.109375" style="234" customWidth="1"/>
    <col min="3" max="3" width="61.77734375" style="234" customWidth="1"/>
    <col min="4" max="4" width="20" style="234" customWidth="1"/>
    <col min="5" max="5" width="13.44140625" style="234" customWidth="1"/>
    <col min="6" max="6" width="18" style="234" customWidth="1"/>
    <col min="7" max="7" width="15.109375" style="234" customWidth="1"/>
    <col min="8" max="8" width="11.77734375" style="234" customWidth="1"/>
    <col min="9" max="9" width="13" style="234" customWidth="1"/>
    <col min="10" max="10" width="10.44140625" style="234" customWidth="1"/>
    <col min="11" max="11" width="9" style="234" customWidth="1"/>
    <col min="12" max="12" width="7.44140625" style="234" customWidth="1"/>
    <col min="13" max="13" width="20" style="234" customWidth="1"/>
    <col min="14" max="16384" width="8.77734375" style="235"/>
  </cols>
  <sheetData>
    <row r="1" spans="1:22" ht="22.7" customHeight="1">
      <c r="A1" s="1007" t="s">
        <v>351</v>
      </c>
      <c r="B1" s="1007"/>
      <c r="C1" s="1007"/>
      <c r="D1" s="1007"/>
      <c r="E1" s="1007"/>
      <c r="F1" s="1007"/>
      <c r="G1" s="1007"/>
      <c r="H1" s="1007"/>
      <c r="I1" s="1007"/>
      <c r="J1" s="1007"/>
      <c r="K1" s="1007"/>
      <c r="L1" s="1007"/>
      <c r="M1" s="1007"/>
    </row>
    <row r="2" spans="1:22" ht="18" customHeight="1">
      <c r="A2" s="1008" t="str">
        <f>'Appendix III'!$E$7</f>
        <v>GridLiance West LLC (GLW)</v>
      </c>
      <c r="B2" s="1008"/>
      <c r="C2" s="1008"/>
      <c r="D2" s="1008"/>
      <c r="E2" s="1008"/>
      <c r="F2" s="1008"/>
      <c r="G2" s="1008"/>
      <c r="H2" s="1008"/>
      <c r="I2" s="1008"/>
      <c r="J2" s="1008"/>
      <c r="K2" s="1008"/>
      <c r="L2" s="1008"/>
      <c r="M2" s="1008"/>
    </row>
    <row r="3" spans="1:22">
      <c r="B3" s="233"/>
      <c r="C3" s="284"/>
      <c r="E3" s="310"/>
      <c r="F3" s="284"/>
      <c r="G3" s="336"/>
      <c r="H3" s="233"/>
      <c r="I3" s="233"/>
      <c r="J3" s="337"/>
      <c r="K3" s="337"/>
      <c r="L3" s="337"/>
      <c r="M3" s="337"/>
    </row>
    <row r="4" spans="1:22" ht="16.5" thickBot="1">
      <c r="A4" s="272" t="str">
        <f>+'Appendix III'!C54</f>
        <v>ADJUSTMENTS TO RATE BASE       (Note A)</v>
      </c>
      <c r="K4" s="234" t="s">
        <v>55</v>
      </c>
    </row>
    <row r="5" spans="1:22" ht="50.25" customHeight="1" thickBot="1">
      <c r="A5" s="1023" t="s">
        <v>304</v>
      </c>
      <c r="B5" s="1024"/>
      <c r="C5" s="1024"/>
      <c r="D5" s="1024"/>
      <c r="E5" s="1024"/>
      <c r="F5" s="1025"/>
      <c r="G5" s="338"/>
      <c r="H5" s="338"/>
      <c r="I5" s="338"/>
      <c r="J5" s="1026" t="s">
        <v>352</v>
      </c>
      <c r="K5" s="1027"/>
      <c r="L5" s="1027"/>
      <c r="M5" s="1028"/>
    </row>
    <row r="6" spans="1:22">
      <c r="A6" s="339"/>
      <c r="B6" s="340"/>
      <c r="C6" s="341"/>
      <c r="D6" s="342"/>
      <c r="E6" s="340" t="s">
        <v>353</v>
      </c>
      <c r="F6" s="340" t="s">
        <v>354</v>
      </c>
      <c r="G6" s="343" t="s">
        <v>355</v>
      </c>
      <c r="H6" s="344" t="s">
        <v>356</v>
      </c>
      <c r="I6" s="345"/>
      <c r="J6" s="346"/>
      <c r="K6" s="347"/>
      <c r="L6" s="347"/>
      <c r="M6" s="348"/>
    </row>
    <row r="7" spans="1:22" s="16" customFormat="1" ht="15.75" customHeight="1">
      <c r="A7" s="349">
        <f>+'2 - Cost Support '!A107+1</f>
        <v>93</v>
      </c>
      <c r="B7" s="9"/>
      <c r="C7" s="9" t="s">
        <v>357</v>
      </c>
      <c r="D7" s="9" t="s">
        <v>358</v>
      </c>
      <c r="E7" s="336"/>
      <c r="F7" s="336"/>
      <c r="G7" s="350">
        <f>+E7/2+F7/2</f>
        <v>0</v>
      </c>
      <c r="H7" s="351"/>
      <c r="I7" s="1015" t="s">
        <v>359</v>
      </c>
      <c r="J7" s="1015"/>
      <c r="K7" s="1015"/>
      <c r="L7" s="1015"/>
      <c r="M7" s="1022"/>
      <c r="N7" s="15"/>
      <c r="O7" s="15"/>
      <c r="P7" s="15"/>
      <c r="Q7" s="15"/>
      <c r="R7" s="15"/>
      <c r="S7" s="15"/>
      <c r="T7" s="15"/>
      <c r="U7" s="15"/>
      <c r="V7" s="15"/>
    </row>
    <row r="8" spans="1:22" s="16" customFormat="1">
      <c r="A8" s="349" t="s">
        <v>360</v>
      </c>
      <c r="B8" s="9"/>
      <c r="C8" s="9" t="s">
        <v>361</v>
      </c>
      <c r="D8" s="21" t="s">
        <v>362</v>
      </c>
      <c r="F8" s="336"/>
      <c r="G8" s="350"/>
      <c r="H8" s="351"/>
      <c r="I8" s="1015" t="s">
        <v>363</v>
      </c>
      <c r="J8" s="1015"/>
      <c r="K8" s="1015"/>
      <c r="L8" s="1015"/>
      <c r="M8" s="1022"/>
      <c r="N8" s="15"/>
      <c r="O8" s="15"/>
      <c r="P8" s="15"/>
      <c r="Q8" s="15"/>
      <c r="R8" s="15"/>
      <c r="S8" s="15"/>
      <c r="T8" s="15"/>
      <c r="U8" s="15"/>
      <c r="V8" s="15"/>
    </row>
    <row r="9" spans="1:22" s="16" customFormat="1">
      <c r="A9" s="349"/>
      <c r="B9" s="9"/>
      <c r="C9" s="9"/>
      <c r="D9" s="9"/>
      <c r="E9" s="21"/>
      <c r="F9" s="21"/>
      <c r="G9" s="350"/>
      <c r="H9" s="351"/>
      <c r="I9" s="21"/>
      <c r="J9" s="21"/>
      <c r="K9" s="21"/>
      <c r="L9" s="182"/>
      <c r="M9" s="352"/>
      <c r="N9" s="15"/>
      <c r="O9" s="15"/>
      <c r="P9" s="15"/>
      <c r="Q9" s="15"/>
      <c r="R9" s="15"/>
      <c r="S9" s="15"/>
      <c r="T9" s="15"/>
      <c r="U9" s="15"/>
      <c r="V9" s="15"/>
    </row>
    <row r="10" spans="1:22" s="16" customFormat="1">
      <c r="A10" s="349">
        <v>96</v>
      </c>
      <c r="B10" s="9"/>
      <c r="C10" s="9" t="s">
        <v>364</v>
      </c>
      <c r="D10" s="9"/>
      <c r="E10" s="336"/>
      <c r="F10" s="336"/>
      <c r="G10" s="350"/>
      <c r="H10" s="351"/>
      <c r="I10" s="21"/>
      <c r="J10" s="21"/>
      <c r="K10" s="21"/>
      <c r="L10" s="182"/>
      <c r="M10" s="352"/>
      <c r="N10" s="15"/>
      <c r="O10" s="15"/>
      <c r="P10" s="15"/>
      <c r="Q10" s="15"/>
      <c r="R10" s="15"/>
      <c r="S10" s="15"/>
      <c r="T10" s="15"/>
      <c r="U10" s="15"/>
      <c r="V10" s="15"/>
    </row>
    <row r="11" spans="1:22" s="16" customFormat="1">
      <c r="A11" s="349"/>
      <c r="B11" s="9"/>
      <c r="C11" s="9" t="s">
        <v>365</v>
      </c>
      <c r="D11" s="9"/>
      <c r="E11" s="233" t="s">
        <v>306</v>
      </c>
      <c r="F11" s="353" t="s">
        <v>307</v>
      </c>
      <c r="G11" s="354"/>
      <c r="H11" s="351"/>
      <c r="I11" s="21"/>
      <c r="J11" s="21"/>
      <c r="K11" s="21"/>
      <c r="L11" s="182"/>
      <c r="M11" s="352"/>
      <c r="N11" s="15"/>
      <c r="O11" s="15"/>
      <c r="P11" s="15"/>
      <c r="Q11" s="15"/>
      <c r="R11" s="15"/>
      <c r="S11" s="15"/>
      <c r="T11" s="15"/>
      <c r="U11" s="15"/>
      <c r="V11" s="15"/>
    </row>
    <row r="12" spans="1:22" s="16" customFormat="1">
      <c r="A12" s="274">
        <f>+A10+1</f>
        <v>97</v>
      </c>
      <c r="B12" s="233"/>
      <c r="C12" s="234" t="s">
        <v>308</v>
      </c>
      <c r="D12" s="21" t="s">
        <v>366</v>
      </c>
      <c r="E12" s="355">
        <f>YEAR(EDATE('Appendix III'!$N$7,-12))</f>
        <v>2026</v>
      </c>
      <c r="F12" s="356">
        <v>795247.51</v>
      </c>
      <c r="G12" s="9"/>
      <c r="H12" s="9"/>
      <c r="I12" s="21"/>
      <c r="J12" s="21"/>
      <c r="K12" s="21"/>
      <c r="L12" s="182"/>
      <c r="M12" s="352"/>
      <c r="N12" s="15"/>
      <c r="O12" s="357"/>
      <c r="P12" s="15"/>
      <c r="Q12" s="15"/>
      <c r="R12" s="15"/>
      <c r="S12" s="15"/>
      <c r="T12" s="15"/>
      <c r="U12" s="15"/>
      <c r="V12" s="15"/>
    </row>
    <row r="13" spans="1:22" s="16" customFormat="1">
      <c r="A13" s="274">
        <f t="shared" ref="A13:A25" si="0">+A12+1</f>
        <v>98</v>
      </c>
      <c r="B13" s="233"/>
      <c r="C13" s="284" t="s">
        <v>310</v>
      </c>
      <c r="D13" s="234" t="s">
        <v>367</v>
      </c>
      <c r="E13" s="355">
        <f>YEAR('Appendix III'!$N$7)</f>
        <v>2027</v>
      </c>
      <c r="F13" s="356">
        <v>795247.51</v>
      </c>
      <c r="G13" s="9"/>
      <c r="H13" s="9"/>
      <c r="I13" s="21"/>
      <c r="J13" s="21"/>
      <c r="K13" s="21"/>
      <c r="L13" s="182"/>
      <c r="M13" s="352"/>
      <c r="N13" s="15"/>
      <c r="O13" s="357"/>
      <c r="P13" s="15"/>
      <c r="Q13" s="15"/>
      <c r="R13" s="15"/>
      <c r="S13" s="15"/>
      <c r="T13" s="15"/>
      <c r="U13" s="15"/>
      <c r="V13" s="15"/>
    </row>
    <row r="14" spans="1:22" s="16" customFormat="1">
      <c r="A14" s="274">
        <f t="shared" si="0"/>
        <v>99</v>
      </c>
      <c r="B14" s="233"/>
      <c r="C14" s="284" t="s">
        <v>312</v>
      </c>
      <c r="D14" s="234" t="s">
        <v>367</v>
      </c>
      <c r="E14" s="355">
        <f>E13</f>
        <v>2027</v>
      </c>
      <c r="F14" s="356">
        <v>795247.51</v>
      </c>
      <c r="H14" s="358">
        <f>185908+525000</f>
        <v>710908</v>
      </c>
      <c r="I14" s="21"/>
      <c r="J14" s="21"/>
      <c r="K14" s="21"/>
      <c r="L14" s="182"/>
      <c r="M14" s="352"/>
      <c r="N14" s="15"/>
      <c r="O14" s="357"/>
      <c r="P14" s="15"/>
      <c r="Q14" s="15"/>
      <c r="R14" s="15"/>
      <c r="S14" s="15"/>
      <c r="T14" s="15"/>
      <c r="U14" s="15"/>
      <c r="V14" s="15"/>
    </row>
    <row r="15" spans="1:22" s="16" customFormat="1">
      <c r="A15" s="274">
        <f t="shared" si="0"/>
        <v>100</v>
      </c>
      <c r="B15" s="233"/>
      <c r="C15" s="284" t="s">
        <v>313</v>
      </c>
      <c r="D15" s="234" t="s">
        <v>367</v>
      </c>
      <c r="E15" s="355">
        <f t="shared" ref="E15:E24" si="1">E14</f>
        <v>2027</v>
      </c>
      <c r="F15" s="356">
        <v>795247.51</v>
      </c>
      <c r="G15" s="9"/>
      <c r="H15" s="359">
        <f>F15-H14</f>
        <v>84339.510000000009</v>
      </c>
      <c r="I15" s="21"/>
      <c r="J15" s="21"/>
      <c r="K15" s="21"/>
      <c r="L15" s="182"/>
      <c r="M15" s="352"/>
      <c r="N15" s="15"/>
      <c r="O15" s="357"/>
      <c r="P15" s="15"/>
      <c r="Q15" s="15"/>
      <c r="R15" s="15"/>
      <c r="S15" s="15"/>
      <c r="T15" s="15"/>
      <c r="U15" s="15"/>
      <c r="V15" s="15"/>
    </row>
    <row r="16" spans="1:22" s="16" customFormat="1">
      <c r="A16" s="274">
        <f t="shared" si="0"/>
        <v>101</v>
      </c>
      <c r="B16" s="233"/>
      <c r="C16" s="284" t="s">
        <v>314</v>
      </c>
      <c r="D16" s="234" t="s">
        <v>367</v>
      </c>
      <c r="E16" s="355">
        <f t="shared" si="1"/>
        <v>2027</v>
      </c>
      <c r="F16" s="356">
        <v>795247.51</v>
      </c>
      <c r="G16" s="9"/>
      <c r="H16" s="359">
        <f>F16-F15</f>
        <v>0</v>
      </c>
      <c r="I16" s="21"/>
      <c r="J16" s="21"/>
      <c r="K16" s="21"/>
      <c r="L16" s="182"/>
      <c r="M16" s="352"/>
      <c r="N16" s="15"/>
      <c r="O16" s="357"/>
      <c r="P16" s="15"/>
      <c r="Q16" s="15"/>
      <c r="R16" s="15"/>
      <c r="S16" s="15"/>
      <c r="T16" s="15"/>
      <c r="U16" s="15"/>
      <c r="V16" s="15"/>
    </row>
    <row r="17" spans="1:22" s="16" customFormat="1">
      <c r="A17" s="274">
        <f t="shared" si="0"/>
        <v>102</v>
      </c>
      <c r="B17" s="233"/>
      <c r="C17" s="284" t="s">
        <v>315</v>
      </c>
      <c r="D17" s="234" t="s">
        <v>367</v>
      </c>
      <c r="E17" s="355">
        <f t="shared" si="1"/>
        <v>2027</v>
      </c>
      <c r="F17" s="356">
        <v>795247.51</v>
      </c>
      <c r="G17" s="9"/>
      <c r="H17" s="359">
        <f t="shared" ref="H17:H24" si="2">F17-F16</f>
        <v>0</v>
      </c>
      <c r="I17" s="21"/>
      <c r="J17" s="21"/>
      <c r="K17" s="21"/>
      <c r="L17" s="182"/>
      <c r="M17" s="352"/>
      <c r="N17" s="15"/>
      <c r="O17" s="357"/>
      <c r="P17" s="15"/>
      <c r="Q17" s="15"/>
      <c r="R17" s="15"/>
      <c r="S17" s="15"/>
      <c r="T17" s="15"/>
      <c r="U17" s="15"/>
      <c r="V17" s="15"/>
    </row>
    <row r="18" spans="1:22" s="16" customFormat="1">
      <c r="A18" s="274">
        <f t="shared" si="0"/>
        <v>103</v>
      </c>
      <c r="B18" s="233"/>
      <c r="C18" s="284" t="s">
        <v>316</v>
      </c>
      <c r="D18" s="234" t="s">
        <v>367</v>
      </c>
      <c r="E18" s="355">
        <f t="shared" si="1"/>
        <v>2027</v>
      </c>
      <c r="F18" s="356">
        <v>795247.51</v>
      </c>
      <c r="G18" s="9"/>
      <c r="H18" s="359">
        <f t="shared" si="2"/>
        <v>0</v>
      </c>
      <c r="I18" s="21"/>
      <c r="J18" s="21"/>
      <c r="K18" s="21"/>
      <c r="L18" s="182"/>
      <c r="M18" s="352"/>
      <c r="N18" s="15"/>
      <c r="O18" s="357"/>
      <c r="P18" s="15"/>
      <c r="Q18" s="15"/>
      <c r="R18" s="15"/>
      <c r="S18" s="15"/>
      <c r="T18" s="15"/>
      <c r="U18" s="15"/>
      <c r="V18" s="15"/>
    </row>
    <row r="19" spans="1:22" s="16" customFormat="1">
      <c r="A19" s="274">
        <f t="shared" si="0"/>
        <v>104</v>
      </c>
      <c r="B19" s="233"/>
      <c r="C19" s="284" t="s">
        <v>317</v>
      </c>
      <c r="D19" s="234" t="s">
        <v>367</v>
      </c>
      <c r="E19" s="355">
        <f t="shared" si="1"/>
        <v>2027</v>
      </c>
      <c r="F19" s="356">
        <v>795247.51</v>
      </c>
      <c r="G19" s="9"/>
      <c r="H19" s="359">
        <f t="shared" si="2"/>
        <v>0</v>
      </c>
      <c r="I19" s="21"/>
      <c r="J19" s="21"/>
      <c r="K19" s="21"/>
      <c r="L19" s="182"/>
      <c r="M19" s="352"/>
      <c r="N19" s="15"/>
      <c r="O19" s="357"/>
      <c r="P19" s="15"/>
      <c r="Q19" s="15"/>
      <c r="R19" s="15"/>
      <c r="S19" s="15"/>
      <c r="T19" s="15"/>
      <c r="U19" s="15"/>
      <c r="V19" s="15"/>
    </row>
    <row r="20" spans="1:22" s="16" customFormat="1">
      <c r="A20" s="274">
        <f t="shared" si="0"/>
        <v>105</v>
      </c>
      <c r="B20" s="233"/>
      <c r="C20" s="284" t="s">
        <v>318</v>
      </c>
      <c r="D20" s="234" t="s">
        <v>367</v>
      </c>
      <c r="E20" s="355">
        <f t="shared" si="1"/>
        <v>2027</v>
      </c>
      <c r="F20" s="356">
        <v>795247.51</v>
      </c>
      <c r="G20" s="9"/>
      <c r="H20" s="359">
        <f t="shared" si="2"/>
        <v>0</v>
      </c>
      <c r="I20" s="21"/>
      <c r="J20" s="21"/>
      <c r="K20" s="21"/>
      <c r="L20" s="182"/>
      <c r="M20" s="352"/>
      <c r="N20" s="15"/>
      <c r="O20" s="357"/>
      <c r="P20" s="15"/>
      <c r="Q20" s="15"/>
      <c r="R20" s="15"/>
      <c r="S20" s="15"/>
      <c r="T20" s="15"/>
      <c r="U20" s="15"/>
      <c r="V20" s="15"/>
    </row>
    <row r="21" spans="1:22" s="16" customFormat="1">
      <c r="A21" s="274">
        <f t="shared" si="0"/>
        <v>106</v>
      </c>
      <c r="B21" s="233"/>
      <c r="C21" s="284" t="s">
        <v>319</v>
      </c>
      <c r="D21" s="234" t="s">
        <v>367</v>
      </c>
      <c r="E21" s="355">
        <f t="shared" si="1"/>
        <v>2027</v>
      </c>
      <c r="F21" s="356">
        <v>795247.51</v>
      </c>
      <c r="G21" s="9"/>
      <c r="H21" s="359">
        <f t="shared" si="2"/>
        <v>0</v>
      </c>
      <c r="I21" s="21"/>
      <c r="J21" s="21"/>
      <c r="K21" s="21"/>
      <c r="L21" s="182"/>
      <c r="M21" s="352"/>
      <c r="N21" s="15"/>
      <c r="O21" s="357"/>
      <c r="P21" s="15"/>
      <c r="Q21" s="15"/>
      <c r="R21" s="15"/>
      <c r="S21" s="15"/>
      <c r="T21" s="15"/>
      <c r="U21" s="15"/>
      <c r="V21" s="15"/>
    </row>
    <row r="22" spans="1:22" s="16" customFormat="1">
      <c r="A22" s="274">
        <f t="shared" si="0"/>
        <v>107</v>
      </c>
      <c r="B22" s="233"/>
      <c r="C22" s="284" t="s">
        <v>320</v>
      </c>
      <c r="D22" s="234" t="s">
        <v>367</v>
      </c>
      <c r="E22" s="355">
        <f t="shared" si="1"/>
        <v>2027</v>
      </c>
      <c r="F22" s="356">
        <v>795247.51</v>
      </c>
      <c r="G22" s="9"/>
      <c r="H22" s="359">
        <f t="shared" si="2"/>
        <v>0</v>
      </c>
      <c r="I22" s="21"/>
      <c r="J22" s="21"/>
      <c r="K22" s="21"/>
      <c r="L22" s="182"/>
      <c r="M22" s="352"/>
      <c r="N22" s="15"/>
      <c r="O22" s="357"/>
      <c r="P22" s="15"/>
      <c r="Q22" s="15"/>
      <c r="R22" s="15"/>
      <c r="S22" s="15"/>
      <c r="T22" s="15"/>
      <c r="U22" s="15"/>
      <c r="V22" s="15"/>
    </row>
    <row r="23" spans="1:22" s="16" customFormat="1">
      <c r="A23" s="274">
        <f t="shared" si="0"/>
        <v>108</v>
      </c>
      <c r="B23" s="233"/>
      <c r="C23" s="284" t="s">
        <v>321</v>
      </c>
      <c r="D23" s="234" t="s">
        <v>367</v>
      </c>
      <c r="E23" s="355">
        <f t="shared" si="1"/>
        <v>2027</v>
      </c>
      <c r="F23" s="356">
        <v>795247.51</v>
      </c>
      <c r="G23" s="9"/>
      <c r="H23" s="359">
        <f t="shared" si="2"/>
        <v>0</v>
      </c>
      <c r="I23" s="21"/>
      <c r="J23" s="21"/>
      <c r="K23" s="21"/>
      <c r="L23" s="182"/>
      <c r="M23" s="352"/>
      <c r="N23" s="15"/>
      <c r="O23" s="357"/>
      <c r="P23" s="15"/>
      <c r="Q23" s="15"/>
      <c r="R23" s="15"/>
      <c r="S23" s="15"/>
      <c r="T23" s="15"/>
      <c r="U23" s="15"/>
      <c r="V23" s="15"/>
    </row>
    <row r="24" spans="1:22" s="16" customFormat="1">
      <c r="A24" s="274">
        <f t="shared" si="0"/>
        <v>109</v>
      </c>
      <c r="B24" s="233"/>
      <c r="C24" s="290" t="s">
        <v>308</v>
      </c>
      <c r="D24" s="291" t="s">
        <v>368</v>
      </c>
      <c r="E24" s="360">
        <f t="shared" si="1"/>
        <v>2027</v>
      </c>
      <c r="F24" s="361">
        <v>795247.51</v>
      </c>
      <c r="G24" s="9"/>
      <c r="H24" s="359">
        <f t="shared" si="2"/>
        <v>0</v>
      </c>
      <c r="I24" s="21"/>
      <c r="J24" s="21"/>
      <c r="K24" s="21"/>
      <c r="L24" s="182"/>
      <c r="M24" s="352"/>
      <c r="N24" s="15"/>
      <c r="O24" s="357"/>
      <c r="P24" s="15"/>
      <c r="Q24" s="15"/>
      <c r="R24" s="15"/>
      <c r="S24" s="15"/>
      <c r="T24" s="15"/>
      <c r="U24" s="15"/>
      <c r="V24" s="15"/>
    </row>
    <row r="25" spans="1:22" s="16" customFormat="1">
      <c r="A25" s="274">
        <f t="shared" si="0"/>
        <v>110</v>
      </c>
      <c r="B25" s="233"/>
      <c r="C25" s="294" t="s">
        <v>369</v>
      </c>
      <c r="D25" s="234" t="str">
        <f>"(sum lines "&amp;A12&amp;"-"&amp;A24&amp;") /13"</f>
        <v>(sum lines 97-109) /13</v>
      </c>
      <c r="E25" s="295"/>
      <c r="F25" s="296">
        <f>SUM(F12:F24)/13</f>
        <v>795247.50999999989</v>
      </c>
      <c r="G25" s="9"/>
      <c r="H25" s="9"/>
      <c r="I25" s="21"/>
      <c r="J25" s="21"/>
      <c r="K25" s="21"/>
      <c r="L25" s="182"/>
      <c r="M25" s="352"/>
      <c r="N25" s="15"/>
      <c r="O25" s="15"/>
      <c r="P25" s="15"/>
      <c r="Q25" s="15"/>
      <c r="R25" s="15"/>
      <c r="S25" s="15"/>
      <c r="T25" s="15"/>
      <c r="U25" s="15"/>
      <c r="V25" s="15"/>
    </row>
    <row r="26" spans="1:22" s="16" customFormat="1">
      <c r="A26" s="349"/>
      <c r="B26" s="9"/>
      <c r="C26" s="9"/>
      <c r="D26" s="9"/>
      <c r="E26" s="21"/>
      <c r="F26" s="21"/>
      <c r="G26" s="354"/>
      <c r="H26" s="351"/>
      <c r="I26" s="21"/>
      <c r="J26" s="21"/>
      <c r="K26" s="21"/>
      <c r="L26" s="182"/>
      <c r="M26" s="352"/>
      <c r="N26" s="15"/>
      <c r="O26" s="15"/>
      <c r="P26" s="15"/>
      <c r="Q26" s="15"/>
      <c r="R26" s="15"/>
      <c r="S26" s="15"/>
      <c r="T26" s="15"/>
      <c r="U26" s="15"/>
      <c r="V26" s="15"/>
    </row>
    <row r="27" spans="1:22" ht="16.5" thickBot="1">
      <c r="A27" s="274"/>
      <c r="B27" s="233"/>
      <c r="C27" s="272"/>
      <c r="D27" s="362"/>
      <c r="E27" s="284"/>
      <c r="G27" s="363"/>
      <c r="H27" s="364"/>
      <c r="I27" s="365"/>
      <c r="J27" s="366"/>
      <c r="K27" s="337"/>
      <c r="L27" s="337"/>
      <c r="M27" s="367"/>
    </row>
    <row r="28" spans="1:22">
      <c r="A28" s="368" t="s">
        <v>370</v>
      </c>
      <c r="B28" s="369"/>
      <c r="C28" s="369"/>
      <c r="D28" s="369"/>
      <c r="E28" s="369"/>
      <c r="F28" s="369"/>
      <c r="G28" s="369"/>
      <c r="H28" s="369"/>
      <c r="I28" s="369"/>
      <c r="J28" s="369"/>
      <c r="K28" s="369"/>
      <c r="L28" s="369"/>
      <c r="M28" s="370"/>
    </row>
    <row r="29" spans="1:22">
      <c r="A29" s="1032" t="s">
        <v>304</v>
      </c>
      <c r="B29" s="1033"/>
      <c r="C29" s="1033"/>
      <c r="D29" s="1033"/>
      <c r="E29" s="1033"/>
      <c r="F29" s="1033"/>
      <c r="G29" s="371"/>
      <c r="H29" s="371"/>
      <c r="I29" s="371"/>
      <c r="J29" s="1034" t="s">
        <v>352</v>
      </c>
      <c r="K29" s="1035"/>
      <c r="L29" s="1035"/>
      <c r="M29" s="1036"/>
    </row>
    <row r="30" spans="1:22">
      <c r="A30" s="274"/>
      <c r="B30" s="237" t="s">
        <v>371</v>
      </c>
      <c r="E30" s="372"/>
      <c r="J30" s="1037"/>
      <c r="K30" s="1035"/>
      <c r="L30" s="1035"/>
      <c r="M30" s="1036"/>
    </row>
    <row r="31" spans="1:22">
      <c r="A31" s="274"/>
      <c r="B31" s="2"/>
      <c r="C31" s="2"/>
      <c r="D31" s="234" t="s">
        <v>55</v>
      </c>
      <c r="E31" s="372" t="s">
        <v>372</v>
      </c>
      <c r="F31" s="233"/>
      <c r="G31" s="233" t="s">
        <v>373</v>
      </c>
      <c r="H31" s="337"/>
      <c r="I31" s="2"/>
      <c r="J31" s="2"/>
      <c r="K31" s="2"/>
      <c r="L31" s="2"/>
      <c r="M31" s="373"/>
    </row>
    <row r="32" spans="1:22">
      <c r="A32" s="274">
        <v>128</v>
      </c>
      <c r="B32" s="2"/>
      <c r="C32" s="284" t="s">
        <v>374</v>
      </c>
      <c r="D32" s="2"/>
      <c r="E32" s="284" t="s">
        <v>375</v>
      </c>
      <c r="F32" s="284"/>
      <c r="G32" s="374"/>
      <c r="H32" s="375"/>
      <c r="I32" s="2"/>
      <c r="J32" s="2"/>
      <c r="K32" s="2"/>
      <c r="L32" s="2"/>
      <c r="M32" s="373"/>
    </row>
    <row r="33" spans="1:13">
      <c r="A33" s="274"/>
      <c r="B33" s="2"/>
      <c r="C33" s="284"/>
      <c r="D33" s="2"/>
      <c r="E33" s="284"/>
      <c r="F33" s="284"/>
      <c r="G33" s="375"/>
      <c r="H33" s="375"/>
      <c r="I33" s="2"/>
      <c r="J33" s="2"/>
      <c r="K33" s="2"/>
      <c r="L33" s="2"/>
      <c r="M33" s="373"/>
    </row>
    <row r="34" spans="1:13">
      <c r="A34" s="274" t="s">
        <v>376</v>
      </c>
      <c r="B34" s="2"/>
      <c r="C34" s="2" t="s">
        <v>377</v>
      </c>
      <c r="G34" s="266"/>
      <c r="I34" s="2"/>
      <c r="J34" s="2"/>
      <c r="K34" s="2"/>
      <c r="L34" s="2"/>
      <c r="M34" s="373"/>
    </row>
    <row r="35" spans="1:13">
      <c r="A35" s="274"/>
      <c r="B35" s="2"/>
      <c r="C35" s="376"/>
      <c r="G35" s="266"/>
      <c r="I35" s="2"/>
      <c r="J35" s="2"/>
      <c r="K35" s="2"/>
      <c r="L35" s="2"/>
      <c r="M35" s="373"/>
    </row>
    <row r="36" spans="1:13">
      <c r="A36" s="274"/>
      <c r="B36" s="2"/>
      <c r="C36" s="376"/>
      <c r="G36" s="266"/>
      <c r="I36" s="2"/>
      <c r="J36" s="2"/>
      <c r="K36" s="2"/>
      <c r="L36" s="2"/>
      <c r="M36" s="373"/>
    </row>
    <row r="37" spans="1:13">
      <c r="A37" s="274"/>
      <c r="B37" s="2"/>
      <c r="C37" s="376"/>
      <c r="G37" s="266"/>
      <c r="I37" s="2"/>
      <c r="J37" s="2"/>
      <c r="K37" s="2"/>
      <c r="L37" s="2"/>
      <c r="M37" s="373"/>
    </row>
    <row r="38" spans="1:13">
      <c r="A38" s="274"/>
      <c r="B38" s="2"/>
      <c r="C38" s="376"/>
      <c r="G38" s="266"/>
      <c r="I38" s="2"/>
      <c r="J38" s="2"/>
      <c r="K38" s="2"/>
      <c r="L38" s="2"/>
      <c r="M38" s="373"/>
    </row>
    <row r="39" spans="1:13" ht="16.5" thickBot="1">
      <c r="A39" s="313"/>
      <c r="B39" s="316"/>
      <c r="C39" s="316"/>
      <c r="D39" s="316"/>
      <c r="E39" s="316"/>
      <c r="F39" s="316"/>
      <c r="G39" s="316"/>
      <c r="H39" s="316"/>
      <c r="I39" s="316"/>
      <c r="J39" s="316"/>
      <c r="K39" s="316"/>
      <c r="L39" s="316"/>
      <c r="M39" s="377"/>
    </row>
    <row r="41" spans="1:13" ht="16.5" thickBot="1">
      <c r="A41" s="378" t="s">
        <v>378</v>
      </c>
      <c r="B41" s="379"/>
      <c r="C41" s="379"/>
      <c r="D41" s="379"/>
      <c r="E41" s="379"/>
      <c r="F41" s="379"/>
      <c r="G41" s="379"/>
      <c r="H41" s="379"/>
      <c r="I41" s="379"/>
      <c r="J41" s="379"/>
      <c r="K41" s="379"/>
      <c r="L41" s="379"/>
      <c r="M41" s="379"/>
    </row>
    <row r="42" spans="1:13" ht="47.25">
      <c r="A42" s="1038" t="s">
        <v>304</v>
      </c>
      <c r="B42" s="1039"/>
      <c r="C42" s="1039"/>
      <c r="D42" s="1039"/>
      <c r="E42" s="1039"/>
      <c r="F42" s="1040"/>
      <c r="G42" s="346" t="s">
        <v>379</v>
      </c>
      <c r="H42" s="346" t="s">
        <v>380</v>
      </c>
      <c r="I42" s="346" t="s">
        <v>381</v>
      </c>
      <c r="J42" s="1041" t="s">
        <v>382</v>
      </c>
      <c r="K42" s="1030"/>
      <c r="L42" s="1030"/>
      <c r="M42" s="1031"/>
    </row>
    <row r="43" spans="1:13">
      <c r="A43" s="274"/>
      <c r="B43" s="237" t="s">
        <v>383</v>
      </c>
      <c r="C43" s="284"/>
      <c r="E43" s="295"/>
      <c r="F43" s="299"/>
      <c r="G43" s="236" t="s">
        <v>203</v>
      </c>
      <c r="H43" s="380" t="s">
        <v>205</v>
      </c>
      <c r="I43" s="236" t="s">
        <v>207</v>
      </c>
      <c r="M43" s="303"/>
    </row>
    <row r="44" spans="1:13">
      <c r="A44" s="274"/>
      <c r="B44" s="237"/>
      <c r="C44" s="284"/>
      <c r="E44" s="295"/>
      <c r="F44" s="299"/>
      <c r="G44" s="236"/>
      <c r="H44" s="380"/>
      <c r="I44" s="236" t="s">
        <v>384</v>
      </c>
      <c r="J44" s="381"/>
      <c r="M44" s="303"/>
    </row>
    <row r="45" spans="1:13">
      <c r="A45" s="274">
        <f>+A32+1</f>
        <v>129</v>
      </c>
      <c r="B45" s="353"/>
      <c r="C45" s="284" t="s">
        <v>385</v>
      </c>
      <c r="D45" s="310"/>
      <c r="E45" s="310"/>
      <c r="F45" s="299" t="s">
        <v>386</v>
      </c>
      <c r="G45" s="382"/>
      <c r="H45" s="382"/>
      <c r="I45" s="364">
        <f>+G45-H45</f>
        <v>0</v>
      </c>
      <c r="M45" s="303"/>
    </row>
    <row r="46" spans="1:13">
      <c r="A46" s="274"/>
      <c r="B46" s="237"/>
      <c r="C46" s="284"/>
      <c r="E46" s="295"/>
      <c r="F46" s="299"/>
      <c r="G46" s="284" t="s">
        <v>387</v>
      </c>
      <c r="H46" s="380"/>
      <c r="I46" s="236"/>
      <c r="M46" s="303"/>
    </row>
    <row r="47" spans="1:13">
      <c r="A47" s="383"/>
      <c r="F47" s="303"/>
      <c r="G47" s="284" t="s">
        <v>388</v>
      </c>
      <c r="H47" s="380"/>
      <c r="I47" s="236"/>
      <c r="M47" s="303"/>
    </row>
    <row r="48" spans="1:13">
      <c r="A48" s="274"/>
      <c r="F48" s="303"/>
      <c r="M48" s="303"/>
    </row>
    <row r="49" spans="1:13" ht="16.5" thickBot="1">
      <c r="A49" s="313"/>
      <c r="B49" s="316"/>
      <c r="C49" s="316"/>
      <c r="D49" s="316"/>
      <c r="E49" s="316"/>
      <c r="F49" s="377"/>
      <c r="G49" s="316" t="s">
        <v>389</v>
      </c>
      <c r="H49" s="316"/>
      <c r="I49" s="316"/>
      <c r="J49" s="316"/>
      <c r="K49" s="316"/>
      <c r="L49" s="316"/>
      <c r="M49" s="377"/>
    </row>
    <row r="51" spans="1:13" ht="16.5" thickBot="1">
      <c r="A51" s="384" t="s">
        <v>390</v>
      </c>
    </row>
    <row r="52" spans="1:13" ht="78.75">
      <c r="A52" s="1042" t="s">
        <v>304</v>
      </c>
      <c r="B52" s="1043"/>
      <c r="C52" s="1043"/>
      <c r="D52" s="1043"/>
      <c r="E52" s="1043"/>
      <c r="F52" s="1044"/>
      <c r="G52" s="385" t="s">
        <v>379</v>
      </c>
      <c r="H52" s="385" t="s">
        <v>391</v>
      </c>
      <c r="I52" s="385" t="s">
        <v>256</v>
      </c>
      <c r="J52" s="1045" t="s">
        <v>352</v>
      </c>
      <c r="K52" s="1045"/>
      <c r="L52" s="1045"/>
      <c r="M52" s="1046"/>
    </row>
    <row r="53" spans="1:13">
      <c r="A53" s="274"/>
      <c r="B53" s="237" t="s">
        <v>383</v>
      </c>
      <c r="E53" s="372"/>
      <c r="F53" s="303"/>
      <c r="G53" s="236" t="s">
        <v>203</v>
      </c>
      <c r="H53" s="380" t="s">
        <v>205</v>
      </c>
      <c r="I53" s="236" t="s">
        <v>207</v>
      </c>
      <c r="M53" s="303"/>
    </row>
    <row r="54" spans="1:13">
      <c r="A54" s="274"/>
      <c r="B54" s="237"/>
      <c r="E54" s="372"/>
      <c r="F54" s="303"/>
      <c r="G54" s="236"/>
      <c r="H54" s="380"/>
      <c r="I54" s="236" t="s">
        <v>384</v>
      </c>
      <c r="M54" s="303"/>
    </row>
    <row r="55" spans="1:13">
      <c r="A55" s="274">
        <v>131</v>
      </c>
      <c r="B55" s="353"/>
      <c r="C55" s="284" t="s">
        <v>392</v>
      </c>
      <c r="E55" s="233"/>
      <c r="F55" s="299" t="s">
        <v>393</v>
      </c>
      <c r="G55" s="382"/>
      <c r="H55" s="382"/>
      <c r="I55" s="386">
        <f>G55-H55</f>
        <v>0</v>
      </c>
      <c r="J55" s="1047"/>
      <c r="K55" s="1047"/>
      <c r="L55" s="1047"/>
      <c r="M55" s="1048"/>
    </row>
    <row r="56" spans="1:13">
      <c r="A56" s="274"/>
      <c r="F56" s="303"/>
      <c r="G56" s="284" t="s">
        <v>394</v>
      </c>
      <c r="M56" s="303"/>
    </row>
    <row r="57" spans="1:13" ht="16.5" thickBot="1">
      <c r="A57" s="313"/>
      <c r="B57" s="316"/>
      <c r="C57" s="316"/>
      <c r="D57" s="316"/>
      <c r="E57" s="316"/>
      <c r="F57" s="377"/>
      <c r="G57" s="387" t="s">
        <v>395</v>
      </c>
      <c r="H57" s="316"/>
      <c r="I57" s="316"/>
      <c r="J57" s="316"/>
      <c r="K57" s="316"/>
      <c r="L57" s="316"/>
      <c r="M57" s="377"/>
    </row>
    <row r="58" spans="1:13">
      <c r="G58" s="284"/>
    </row>
    <row r="59" spans="1:13" ht="16.5" thickBot="1">
      <c r="A59" s="272" t="s">
        <v>396</v>
      </c>
      <c r="G59" s="235"/>
    </row>
    <row r="60" spans="1:13" ht="47.25">
      <c r="A60" s="1049" t="s">
        <v>304</v>
      </c>
      <c r="B60" s="1050"/>
      <c r="C60" s="1050"/>
      <c r="D60" s="1050"/>
      <c r="E60" s="1050"/>
      <c r="F60" s="1050"/>
      <c r="G60" s="389" t="str">
        <f>+C62</f>
        <v>Transmission Facilities Excluded from CAISO Rates</v>
      </c>
      <c r="H60" s="1051" t="s">
        <v>397</v>
      </c>
      <c r="I60" s="1029"/>
      <c r="J60" s="1029"/>
      <c r="K60" s="1029"/>
      <c r="L60" s="1029"/>
      <c r="M60" s="1052"/>
    </row>
    <row r="61" spans="1:13">
      <c r="A61" s="393"/>
      <c r="B61" s="294" t="s">
        <v>398</v>
      </c>
      <c r="C61" s="237"/>
      <c r="D61" s="237"/>
      <c r="E61" s="380"/>
      <c r="F61" s="394"/>
      <c r="G61" s="383"/>
      <c r="M61" s="303"/>
    </row>
    <row r="62" spans="1:13">
      <c r="A62" s="274">
        <f>+A55+1</f>
        <v>132</v>
      </c>
      <c r="B62" s="233"/>
      <c r="C62" s="284" t="s">
        <v>399</v>
      </c>
      <c r="D62" s="237"/>
      <c r="E62" s="310"/>
      <c r="F62" s="284"/>
      <c r="G62" s="395"/>
      <c r="H62" s="1037" t="s">
        <v>400</v>
      </c>
      <c r="I62" s="1035"/>
      <c r="J62" s="1035"/>
      <c r="K62" s="1035"/>
      <c r="L62" s="1035"/>
      <c r="M62" s="1036"/>
    </row>
    <row r="63" spans="1:13">
      <c r="A63" s="274" t="s">
        <v>401</v>
      </c>
      <c r="B63" s="233"/>
      <c r="C63" s="284" t="s">
        <v>402</v>
      </c>
      <c r="D63" s="237"/>
      <c r="E63" s="310"/>
      <c r="F63" s="284"/>
      <c r="G63" s="395"/>
      <c r="H63" s="1037" t="s">
        <v>400</v>
      </c>
      <c r="I63" s="1035"/>
      <c r="J63" s="1035"/>
      <c r="K63" s="1035"/>
      <c r="L63" s="1035"/>
      <c r="M63" s="1036"/>
    </row>
    <row r="64" spans="1:13">
      <c r="A64" s="274"/>
      <c r="B64" s="233"/>
      <c r="D64" s="237"/>
      <c r="E64" s="295"/>
      <c r="F64" s="279"/>
      <c r="G64" s="396"/>
      <c r="M64" s="303"/>
    </row>
    <row r="65" spans="1:13" ht="16.5" thickBot="1">
      <c r="A65" s="313"/>
      <c r="B65" s="316"/>
      <c r="C65" s="316"/>
      <c r="D65" s="316"/>
      <c r="E65" s="316"/>
      <c r="F65" s="316"/>
      <c r="G65" s="397"/>
      <c r="H65" s="316"/>
      <c r="I65" s="316"/>
      <c r="J65" s="316"/>
      <c r="K65" s="398" t="s">
        <v>403</v>
      </c>
      <c r="L65" s="316"/>
      <c r="M65" s="377"/>
    </row>
    <row r="66" spans="1:13">
      <c r="K66" s="399"/>
    </row>
    <row r="67" spans="1:13">
      <c r="B67" s="233"/>
      <c r="C67" s="233"/>
      <c r="D67" s="233"/>
      <c r="E67" s="310"/>
      <c r="F67" s="233"/>
      <c r="K67" s="399"/>
    </row>
    <row r="68" spans="1:13" ht="16.5" thickBot="1">
      <c r="A68" s="272" t="s">
        <v>404</v>
      </c>
      <c r="F68" s="316"/>
    </row>
    <row r="69" spans="1:13">
      <c r="A69" s="400" t="s">
        <v>304</v>
      </c>
      <c r="B69" s="388"/>
      <c r="C69" s="388"/>
      <c r="D69" s="401"/>
      <c r="E69" s="401"/>
      <c r="F69" s="401"/>
      <c r="G69" s="390"/>
      <c r="H69" s="390"/>
      <c r="I69" s="390"/>
      <c r="J69" s="390"/>
      <c r="K69" s="390"/>
      <c r="L69" s="390"/>
      <c r="M69" s="392"/>
    </row>
    <row r="70" spans="1:13">
      <c r="A70" s="393"/>
      <c r="B70" s="294"/>
      <c r="C70" s="237"/>
      <c r="E70" s="236" t="s">
        <v>203</v>
      </c>
      <c r="F70" s="236" t="s">
        <v>205</v>
      </c>
      <c r="G70" s="236" t="s">
        <v>207</v>
      </c>
      <c r="H70" s="294"/>
      <c r="I70" s="279"/>
      <c r="K70" s="236"/>
      <c r="M70" s="303"/>
    </row>
    <row r="71" spans="1:13" ht="31.5">
      <c r="A71" s="274"/>
      <c r="C71" s="402" t="s">
        <v>405</v>
      </c>
      <c r="E71" s="337" t="s">
        <v>406</v>
      </c>
      <c r="F71" s="337" t="s">
        <v>407</v>
      </c>
      <c r="G71" s="337" t="s">
        <v>57</v>
      </c>
      <c r="H71" s="235"/>
      <c r="I71" s="402"/>
      <c r="J71" s="403"/>
      <c r="K71" s="404"/>
      <c r="L71" s="337"/>
      <c r="M71" s="367"/>
    </row>
    <row r="72" spans="1:13" ht="17.45" customHeight="1">
      <c r="A72" s="274"/>
      <c r="B72" s="233"/>
      <c r="C72" s="234" t="s">
        <v>408</v>
      </c>
      <c r="E72" s="233" t="s">
        <v>409</v>
      </c>
      <c r="F72" s="233" t="s">
        <v>410</v>
      </c>
      <c r="G72" s="236" t="s">
        <v>411</v>
      </c>
      <c r="H72" s="235"/>
      <c r="I72" s="402"/>
      <c r="J72" s="403"/>
      <c r="K72" s="404"/>
      <c r="L72" s="284"/>
      <c r="M72" s="405"/>
    </row>
    <row r="73" spans="1:13" ht="17.45" customHeight="1">
      <c r="A73" s="274">
        <f>+A62+1</f>
        <v>133</v>
      </c>
      <c r="B73" s="233"/>
      <c r="C73" s="234" t="s">
        <v>308</v>
      </c>
      <c r="D73" s="234" t="s">
        <v>412</v>
      </c>
      <c r="E73" s="406"/>
      <c r="F73" s="407">
        <v>104292.7</v>
      </c>
      <c r="G73" s="247">
        <f>+E73+F73</f>
        <v>104292.7</v>
      </c>
      <c r="H73" s="235"/>
      <c r="J73" s="403"/>
      <c r="K73" s="404"/>
      <c r="L73" s="284"/>
      <c r="M73" s="405"/>
    </row>
    <row r="74" spans="1:13" ht="17.45" customHeight="1">
      <c r="A74" s="274">
        <f>+A73+1</f>
        <v>134</v>
      </c>
      <c r="B74" s="233"/>
      <c r="C74" s="284" t="s">
        <v>310</v>
      </c>
      <c r="D74" s="234" t="s">
        <v>367</v>
      </c>
      <c r="E74" s="408"/>
      <c r="F74" s="407">
        <v>104292.7</v>
      </c>
      <c r="G74" s="247">
        <f t="shared" ref="G74:G85" si="3">+E74+F74</f>
        <v>104292.7</v>
      </c>
      <c r="H74" s="235"/>
      <c r="I74" s="402"/>
      <c r="J74" s="403"/>
      <c r="K74" s="404"/>
      <c r="L74" s="284"/>
      <c r="M74" s="405"/>
    </row>
    <row r="75" spans="1:13" ht="17.45" customHeight="1">
      <c r="A75" s="274">
        <f t="shared" ref="A75:A85" si="4">+A74+1</f>
        <v>135</v>
      </c>
      <c r="B75" s="233"/>
      <c r="C75" s="284" t="s">
        <v>312</v>
      </c>
      <c r="D75" s="234" t="s">
        <v>367</v>
      </c>
      <c r="E75" s="408"/>
      <c r="F75" s="407">
        <v>104292.7</v>
      </c>
      <c r="G75" s="247">
        <f t="shared" si="3"/>
        <v>104292.7</v>
      </c>
      <c r="H75" s="235"/>
      <c r="I75" s="402"/>
      <c r="J75" s="403"/>
      <c r="K75" s="404"/>
      <c r="L75" s="284"/>
      <c r="M75" s="405"/>
    </row>
    <row r="76" spans="1:13" ht="17.45" customHeight="1">
      <c r="A76" s="274">
        <f t="shared" si="4"/>
        <v>136</v>
      </c>
      <c r="B76" s="233"/>
      <c r="C76" s="284" t="s">
        <v>313</v>
      </c>
      <c r="D76" s="234" t="s">
        <v>367</v>
      </c>
      <c r="E76" s="408"/>
      <c r="F76" s="407">
        <v>104292.7</v>
      </c>
      <c r="G76" s="247">
        <f t="shared" si="3"/>
        <v>104292.7</v>
      </c>
      <c r="H76" s="235"/>
      <c r="I76" s="402"/>
      <c r="J76" s="403"/>
      <c r="K76" s="404"/>
      <c r="L76" s="284"/>
      <c r="M76" s="405"/>
    </row>
    <row r="77" spans="1:13" ht="17.45" customHeight="1">
      <c r="A77" s="274">
        <f t="shared" si="4"/>
        <v>137</v>
      </c>
      <c r="B77" s="233"/>
      <c r="C77" s="284" t="s">
        <v>314</v>
      </c>
      <c r="D77" s="234" t="s">
        <v>367</v>
      </c>
      <c r="E77" s="408"/>
      <c r="F77" s="407">
        <v>104292.7</v>
      </c>
      <c r="G77" s="247">
        <f t="shared" si="3"/>
        <v>104292.7</v>
      </c>
      <c r="H77" s="235"/>
      <c r="I77" s="402"/>
      <c r="J77" s="403"/>
      <c r="K77" s="404"/>
      <c r="L77" s="284"/>
      <c r="M77" s="405"/>
    </row>
    <row r="78" spans="1:13" ht="17.45" customHeight="1">
      <c r="A78" s="274">
        <f t="shared" si="4"/>
        <v>138</v>
      </c>
      <c r="B78" s="233"/>
      <c r="C78" s="284" t="s">
        <v>315</v>
      </c>
      <c r="D78" s="234" t="s">
        <v>367</v>
      </c>
      <c r="E78" s="408"/>
      <c r="F78" s="407">
        <v>104292.7</v>
      </c>
      <c r="G78" s="247">
        <f t="shared" si="3"/>
        <v>104292.7</v>
      </c>
      <c r="H78" s="235"/>
      <c r="I78" s="402"/>
      <c r="J78" s="403"/>
      <c r="K78" s="404"/>
      <c r="L78" s="284"/>
      <c r="M78" s="405"/>
    </row>
    <row r="79" spans="1:13" ht="17.45" customHeight="1">
      <c r="A79" s="274">
        <f t="shared" si="4"/>
        <v>139</v>
      </c>
      <c r="B79" s="233"/>
      <c r="C79" s="284" t="s">
        <v>316</v>
      </c>
      <c r="D79" s="234" t="s">
        <v>367</v>
      </c>
      <c r="E79" s="408"/>
      <c r="F79" s="407">
        <v>104292.7</v>
      </c>
      <c r="G79" s="247">
        <f t="shared" si="3"/>
        <v>104292.7</v>
      </c>
      <c r="H79" s="235"/>
      <c r="I79" s="402"/>
      <c r="J79" s="403"/>
      <c r="K79" s="404"/>
      <c r="L79" s="284"/>
      <c r="M79" s="405"/>
    </row>
    <row r="80" spans="1:13" ht="17.45" customHeight="1">
      <c r="A80" s="274">
        <f t="shared" si="4"/>
        <v>140</v>
      </c>
      <c r="B80" s="233"/>
      <c r="C80" s="284" t="s">
        <v>317</v>
      </c>
      <c r="D80" s="234" t="s">
        <v>367</v>
      </c>
      <c r="E80" s="408"/>
      <c r="F80" s="407">
        <v>104292.7</v>
      </c>
      <c r="G80" s="247">
        <f t="shared" si="3"/>
        <v>104292.7</v>
      </c>
      <c r="H80" s="235"/>
      <c r="I80" s="402"/>
      <c r="J80" s="403"/>
      <c r="K80" s="404"/>
      <c r="L80" s="284"/>
      <c r="M80" s="405"/>
    </row>
    <row r="81" spans="1:13" ht="17.45" customHeight="1">
      <c r="A81" s="274">
        <f t="shared" si="4"/>
        <v>141</v>
      </c>
      <c r="B81" s="233"/>
      <c r="C81" s="284" t="s">
        <v>318</v>
      </c>
      <c r="D81" s="234" t="s">
        <v>367</v>
      </c>
      <c r="E81" s="408"/>
      <c r="F81" s="407">
        <v>104292.7</v>
      </c>
      <c r="G81" s="247">
        <f t="shared" si="3"/>
        <v>104292.7</v>
      </c>
      <c r="H81" s="235"/>
      <c r="I81" s="402"/>
      <c r="J81" s="403"/>
      <c r="K81" s="404"/>
      <c r="L81" s="284"/>
      <c r="M81" s="405"/>
    </row>
    <row r="82" spans="1:13" ht="17.45" customHeight="1">
      <c r="A82" s="274">
        <f t="shared" si="4"/>
        <v>142</v>
      </c>
      <c r="B82" s="233"/>
      <c r="C82" s="284" t="s">
        <v>319</v>
      </c>
      <c r="D82" s="234" t="s">
        <v>367</v>
      </c>
      <c r="E82" s="408"/>
      <c r="F82" s="407">
        <v>104292.7</v>
      </c>
      <c r="G82" s="247">
        <f t="shared" si="3"/>
        <v>104292.7</v>
      </c>
      <c r="H82" s="235"/>
      <c r="I82" s="402"/>
      <c r="J82" s="403"/>
      <c r="K82" s="404"/>
      <c r="L82" s="284"/>
      <c r="M82" s="405"/>
    </row>
    <row r="83" spans="1:13">
      <c r="A83" s="274">
        <f t="shared" si="4"/>
        <v>143</v>
      </c>
      <c r="B83" s="233"/>
      <c r="C83" s="284" t="s">
        <v>320</v>
      </c>
      <c r="D83" s="234" t="s">
        <v>367</v>
      </c>
      <c r="E83" s="408"/>
      <c r="F83" s="407">
        <v>104292.7</v>
      </c>
      <c r="G83" s="247">
        <f t="shared" si="3"/>
        <v>104292.7</v>
      </c>
      <c r="H83" s="235"/>
      <c r="I83" s="402"/>
      <c r="J83" s="403"/>
      <c r="K83" s="404"/>
      <c r="L83" s="284"/>
      <c r="M83" s="405"/>
    </row>
    <row r="84" spans="1:13" ht="17.45" customHeight="1">
      <c r="A84" s="274">
        <f t="shared" si="4"/>
        <v>144</v>
      </c>
      <c r="B84" s="233"/>
      <c r="C84" s="284" t="s">
        <v>321</v>
      </c>
      <c r="D84" s="234" t="s">
        <v>367</v>
      </c>
      <c r="E84" s="408"/>
      <c r="F84" s="407">
        <v>104292.7</v>
      </c>
      <c r="G84" s="247">
        <f t="shared" si="3"/>
        <v>104292.7</v>
      </c>
      <c r="H84" s="235"/>
      <c r="I84" s="402"/>
      <c r="J84" s="403"/>
      <c r="K84" s="404"/>
      <c r="L84" s="284"/>
      <c r="M84" s="405"/>
    </row>
    <row r="85" spans="1:13" ht="17.45" customHeight="1">
      <c r="A85" s="274">
        <f t="shared" si="4"/>
        <v>145</v>
      </c>
      <c r="B85" s="233"/>
      <c r="C85" s="284" t="s">
        <v>308</v>
      </c>
      <c r="D85" s="234" t="s">
        <v>413</v>
      </c>
      <c r="E85" s="408"/>
      <c r="F85" s="407">
        <v>104292.7</v>
      </c>
      <c r="G85" s="247">
        <f t="shared" si="3"/>
        <v>104292.7</v>
      </c>
      <c r="H85" s="235"/>
      <c r="I85" s="402"/>
      <c r="J85" s="403"/>
      <c r="K85" s="404"/>
      <c r="M85" s="405"/>
    </row>
    <row r="86" spans="1:13" ht="17.45" customHeight="1">
      <c r="A86" s="274"/>
      <c r="B86" s="233"/>
      <c r="C86" s="284"/>
      <c r="E86" s="298"/>
      <c r="F86" s="245"/>
      <c r="G86" s="247"/>
      <c r="H86" s="235"/>
      <c r="I86" s="402"/>
      <c r="J86" s="403"/>
      <c r="K86" s="404"/>
      <c r="M86" s="405"/>
    </row>
    <row r="87" spans="1:13" ht="16.5" thickBot="1">
      <c r="A87" s="313">
        <f>+A85+1</f>
        <v>146</v>
      </c>
      <c r="B87" s="314"/>
      <c r="C87" s="316" t="s">
        <v>414</v>
      </c>
      <c r="D87" s="316"/>
      <c r="E87" s="316"/>
      <c r="F87" s="316"/>
      <c r="G87" s="409">
        <f>SUM(G73:G85)/13</f>
        <v>104292.69999999997</v>
      </c>
      <c r="H87" s="410"/>
      <c r="I87" s="410"/>
      <c r="J87" s="411"/>
      <c r="K87" s="411"/>
      <c r="L87" s="412"/>
      <c r="M87" s="413"/>
    </row>
    <row r="88" spans="1:13">
      <c r="B88" s="233"/>
      <c r="C88" s="237"/>
      <c r="G88" s="414"/>
      <c r="H88" s="414"/>
      <c r="I88" s="415"/>
      <c r="J88" s="414"/>
      <c r="K88" s="414"/>
      <c r="L88" s="337"/>
      <c r="M88" s="337"/>
    </row>
    <row r="89" spans="1:13" ht="16.5" thickBot="1">
      <c r="A89" s="272" t="s">
        <v>415</v>
      </c>
    </row>
    <row r="90" spans="1:13" ht="16.5" customHeight="1">
      <c r="A90" s="1009" t="s">
        <v>304</v>
      </c>
      <c r="B90" s="1010"/>
      <c r="C90" s="1010"/>
      <c r="D90" s="1010"/>
      <c r="E90" s="1010"/>
      <c r="F90" s="1010"/>
      <c r="G90" s="391"/>
      <c r="H90" s="391"/>
      <c r="I90" s="391"/>
      <c r="J90" s="1029" t="s">
        <v>352</v>
      </c>
      <c r="K90" s="1030"/>
      <c r="L90" s="1030"/>
      <c r="M90" s="1031"/>
    </row>
    <row r="91" spans="1:13">
      <c r="A91" s="416"/>
      <c r="B91" s="417"/>
      <c r="C91" s="417"/>
      <c r="D91" s="418"/>
      <c r="E91" s="418"/>
      <c r="M91" s="303"/>
    </row>
    <row r="92" spans="1:13">
      <c r="A92" s="274">
        <f>+A87+1</f>
        <v>147</v>
      </c>
      <c r="C92" s="176"/>
      <c r="D92" s="419"/>
      <c r="E92" s="420" t="s">
        <v>53</v>
      </c>
      <c r="F92" s="421"/>
      <c r="M92" s="303"/>
    </row>
    <row r="93" spans="1:13">
      <c r="A93" s="274">
        <f>+A92+1</f>
        <v>148</v>
      </c>
      <c r="C93" s="422" t="s">
        <v>416</v>
      </c>
      <c r="D93" s="422" t="s">
        <v>311</v>
      </c>
      <c r="E93" s="423">
        <v>0</v>
      </c>
      <c r="F93" s="424"/>
      <c r="M93" s="303"/>
    </row>
    <row r="94" spans="1:13">
      <c r="A94" s="274">
        <f t="shared" ref="A94:A98" si="5">+A93+1</f>
        <v>149</v>
      </c>
      <c r="C94" s="422" t="s">
        <v>417</v>
      </c>
      <c r="D94" s="422" t="str">
        <f>+D93</f>
        <v>Note A</v>
      </c>
      <c r="E94" s="423">
        <v>0</v>
      </c>
      <c r="F94" s="424"/>
      <c r="M94" s="303"/>
    </row>
    <row r="95" spans="1:13">
      <c r="A95" s="274">
        <f t="shared" si="5"/>
        <v>150</v>
      </c>
      <c r="C95" s="422" t="s">
        <v>418</v>
      </c>
      <c r="D95" s="422" t="s">
        <v>419</v>
      </c>
      <c r="E95" s="425">
        <f>IF(E94=0,0,E93/E94)</f>
        <v>0</v>
      </c>
      <c r="F95" s="426"/>
      <c r="M95" s="303"/>
    </row>
    <row r="96" spans="1:13">
      <c r="A96" s="274">
        <f t="shared" si="5"/>
        <v>151</v>
      </c>
      <c r="C96" s="422" t="s">
        <v>420</v>
      </c>
      <c r="D96" s="422" t="s">
        <v>421</v>
      </c>
      <c r="E96" s="427">
        <v>0</v>
      </c>
      <c r="F96" s="428"/>
      <c r="M96" s="303"/>
    </row>
    <row r="97" spans="1:13">
      <c r="A97" s="274">
        <f t="shared" si="5"/>
        <v>152</v>
      </c>
      <c r="C97" s="422" t="s">
        <v>422</v>
      </c>
      <c r="D97" s="422" t="s">
        <v>423</v>
      </c>
      <c r="E97" s="429">
        <f>E95*E96</f>
        <v>0</v>
      </c>
      <c r="F97" s="430"/>
      <c r="M97" s="303"/>
    </row>
    <row r="98" spans="1:13">
      <c r="A98" s="274">
        <f t="shared" si="5"/>
        <v>153</v>
      </c>
      <c r="C98" s="422" t="s">
        <v>424</v>
      </c>
      <c r="D98" s="422"/>
      <c r="E98" s="429"/>
      <c r="F98" s="431"/>
      <c r="M98" s="303"/>
    </row>
    <row r="99" spans="1:13">
      <c r="A99" s="274">
        <f>+A98+1</f>
        <v>154</v>
      </c>
      <c r="C99" s="422" t="s">
        <v>425</v>
      </c>
      <c r="D99" s="176"/>
      <c r="E99" s="432"/>
      <c r="F99" s="176"/>
      <c r="M99" s="303"/>
    </row>
    <row r="100" spans="1:13">
      <c r="A100" s="274">
        <f>1+A99</f>
        <v>155</v>
      </c>
      <c r="C100" s="422" t="s">
        <v>426</v>
      </c>
      <c r="D100" s="176" t="s">
        <v>427</v>
      </c>
      <c r="E100" s="425">
        <f>+E99-E97</f>
        <v>0</v>
      </c>
      <c r="F100" s="176"/>
      <c r="M100" s="303"/>
    </row>
    <row r="101" spans="1:13">
      <c r="A101" s="433"/>
      <c r="C101" s="176"/>
      <c r="D101" s="176"/>
      <c r="E101" s="429"/>
      <c r="F101" s="176"/>
      <c r="M101" s="303"/>
    </row>
    <row r="102" spans="1:13">
      <c r="A102" s="434"/>
      <c r="B102" s="435" t="s">
        <v>203</v>
      </c>
      <c r="C102" s="431" t="s">
        <v>428</v>
      </c>
      <c r="D102" s="176"/>
      <c r="E102" s="176"/>
      <c r="F102" s="176"/>
      <c r="M102" s="303"/>
    </row>
    <row r="103" spans="1:13">
      <c r="A103" s="434"/>
      <c r="B103" s="436" t="s">
        <v>205</v>
      </c>
      <c r="C103" s="176" t="s">
        <v>429</v>
      </c>
      <c r="D103" s="176"/>
      <c r="E103" s="176"/>
      <c r="F103" s="176"/>
      <c r="M103" s="303"/>
    </row>
    <row r="104" spans="1:13">
      <c r="A104" s="274"/>
      <c r="B104" s="436"/>
      <c r="C104" s="437"/>
      <c r="D104" s="176"/>
      <c r="E104" s="176"/>
      <c r="F104" s="176"/>
      <c r="M104" s="303"/>
    </row>
    <row r="105" spans="1:13" ht="16.5" thickBot="1">
      <c r="A105" s="313"/>
      <c r="B105" s="316"/>
      <c r="C105" s="316"/>
      <c r="D105" s="438"/>
      <c r="E105" s="438"/>
      <c r="F105" s="438"/>
      <c r="G105" s="316"/>
      <c r="H105" s="316"/>
      <c r="I105" s="316"/>
      <c r="J105" s="316"/>
      <c r="K105" s="316"/>
      <c r="L105" s="316"/>
      <c r="M105" s="377"/>
    </row>
    <row r="106" spans="1:13">
      <c r="A106" s="234"/>
    </row>
    <row r="107" spans="1:13">
      <c r="A107" s="234"/>
    </row>
    <row r="108" spans="1:13">
      <c r="A108" s="234"/>
    </row>
    <row r="109" spans="1:13">
      <c r="A109" s="234"/>
    </row>
    <row r="110" spans="1:13">
      <c r="A110" s="234"/>
    </row>
    <row r="111" spans="1:13">
      <c r="A111" s="234"/>
    </row>
    <row r="112" spans="1:13">
      <c r="A112" s="234"/>
    </row>
    <row r="113" spans="1:1">
      <c r="A113" s="234"/>
    </row>
    <row r="114" spans="1:1">
      <c r="A114" s="234"/>
    </row>
    <row r="115" spans="1:1">
      <c r="A115" s="234"/>
    </row>
    <row r="116" spans="1:1">
      <c r="A116" s="234"/>
    </row>
    <row r="117" spans="1:1">
      <c r="A117" s="234"/>
    </row>
    <row r="118" spans="1:1">
      <c r="A118" s="234"/>
    </row>
  </sheetData>
  <mergeCells count="20">
    <mergeCell ref="A90:F90"/>
    <mergeCell ref="J90:M90"/>
    <mergeCell ref="A29:F29"/>
    <mergeCell ref="J29:M29"/>
    <mergeCell ref="J30:M30"/>
    <mergeCell ref="A42:F42"/>
    <mergeCell ref="J42:M42"/>
    <mergeCell ref="A52:F52"/>
    <mergeCell ref="J52:M52"/>
    <mergeCell ref="J55:M55"/>
    <mergeCell ref="A60:F60"/>
    <mergeCell ref="H60:M60"/>
    <mergeCell ref="H62:M62"/>
    <mergeCell ref="H63:M63"/>
    <mergeCell ref="I8:M8"/>
    <mergeCell ref="A1:M1"/>
    <mergeCell ref="A2:M2"/>
    <mergeCell ref="A5:F5"/>
    <mergeCell ref="J5:M5"/>
    <mergeCell ref="I7:M7"/>
  </mergeCells>
  <pageMargins left="0.7" right="0.7" top="0.75" bottom="0.75" header="0.3" footer="0.3"/>
  <pageSetup scale="49" fitToHeight="2" orientation="landscape" r:id="rId1"/>
  <rowBreaks count="1" manualBreakCount="1">
    <brk id="50" max="12" man="1"/>
  </rowBreaks>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1DDE5-2D55-4176-A654-B994505E9460}">
  <sheetPr>
    <pageSetUpPr fitToPage="1"/>
  </sheetPr>
  <dimension ref="A1:R53"/>
  <sheetViews>
    <sheetView view="pageBreakPreview" zoomScale="90" zoomScaleNormal="100" zoomScaleSheetLayoutView="90" workbookViewId="0">
      <selection activeCell="B23" sqref="B23"/>
    </sheetView>
  </sheetViews>
  <sheetFormatPr defaultRowHeight="15.75"/>
  <cols>
    <col min="1" max="1" width="8.88671875" style="7"/>
    <col min="2" max="2" width="53.44140625" style="2" customWidth="1"/>
    <col min="3" max="3" width="22.44140625" style="2" customWidth="1"/>
    <col min="4" max="4" width="13.44140625" style="51" bestFit="1" customWidth="1"/>
    <col min="5" max="12" width="12.109375" style="51" bestFit="1" customWidth="1"/>
    <col min="13" max="13" width="14" style="51" bestFit="1" customWidth="1"/>
    <col min="14" max="14" width="12.109375" style="51" bestFit="1" customWidth="1"/>
    <col min="15" max="15" width="13" style="51" bestFit="1" customWidth="1"/>
    <col min="16" max="16" width="13.44140625" style="51" bestFit="1" customWidth="1"/>
    <col min="17" max="17" width="14.44140625" style="51" customWidth="1"/>
    <col min="18" max="18" width="8.88671875" style="439"/>
    <col min="19" max="19" width="14.77734375" bestFit="1" customWidth="1"/>
    <col min="22" max="22" width="10.44140625" bestFit="1" customWidth="1"/>
  </cols>
  <sheetData>
    <row r="1" spans="1:18">
      <c r="A1" s="1053" t="s">
        <v>430</v>
      </c>
      <c r="B1" s="1053"/>
      <c r="C1" s="1053"/>
      <c r="D1" s="1053"/>
      <c r="E1" s="1053"/>
      <c r="F1" s="1053"/>
      <c r="G1" s="1053"/>
      <c r="H1" s="1053"/>
      <c r="I1" s="1053"/>
      <c r="J1" s="1053"/>
      <c r="K1" s="1053"/>
      <c r="L1" s="1053"/>
      <c r="M1" s="1053"/>
      <c r="N1" s="1053"/>
      <c r="O1" s="1053"/>
      <c r="P1" s="1053"/>
      <c r="Q1" s="1053"/>
    </row>
    <row r="2" spans="1:18">
      <c r="A2" s="1054" t="str">
        <f>+'Appendix III'!E7</f>
        <v>GridLiance West LLC (GLW)</v>
      </c>
      <c r="B2" s="1054"/>
      <c r="C2" s="1054"/>
      <c r="D2" s="1054"/>
      <c r="E2" s="1054"/>
      <c r="F2" s="1054"/>
      <c r="G2" s="1054"/>
      <c r="H2" s="1054"/>
      <c r="I2" s="1054"/>
      <c r="J2" s="1054"/>
      <c r="K2" s="1054"/>
      <c r="L2" s="1054"/>
      <c r="M2" s="1054"/>
      <c r="N2" s="1054"/>
      <c r="O2" s="1054"/>
      <c r="P2" s="1054"/>
      <c r="Q2" s="1054"/>
    </row>
    <row r="3" spans="1:18">
      <c r="H3" s="45"/>
    </row>
    <row r="4" spans="1:18" s="235" customFormat="1">
      <c r="A4" s="440" t="s">
        <v>431</v>
      </c>
      <c r="B4" s="234"/>
      <c r="C4" s="234"/>
      <c r="D4" s="43"/>
      <c r="E4" s="43"/>
      <c r="F4" s="43"/>
      <c r="G4" s="43"/>
      <c r="H4" s="43"/>
      <c r="I4" s="43"/>
      <c r="J4" s="43"/>
      <c r="K4" s="43"/>
      <c r="L4" s="43"/>
      <c r="M4" s="43"/>
      <c r="N4" s="43"/>
      <c r="O4" s="43"/>
      <c r="P4" s="43"/>
      <c r="Q4" s="43"/>
      <c r="R4" s="441"/>
    </row>
    <row r="5" spans="1:18" s="235" customFormat="1" ht="16.5" thickBot="1">
      <c r="A5" s="1055" t="s">
        <v>304</v>
      </c>
      <c r="B5" s="1055"/>
      <c r="C5" s="1055"/>
      <c r="D5" s="1055"/>
      <c r="E5" s="1055"/>
      <c r="F5" s="1055"/>
      <c r="G5" s="442"/>
      <c r="H5" s="1056"/>
      <c r="I5" s="1057"/>
      <c r="J5" s="1057"/>
      <c r="K5" s="1057"/>
      <c r="L5" s="1057"/>
      <c r="M5" s="1057"/>
      <c r="N5" s="443"/>
      <c r="O5" s="443"/>
      <c r="P5" s="443"/>
      <c r="Q5" s="444"/>
      <c r="R5" s="441"/>
    </row>
    <row r="6" spans="1:18" s="235" customFormat="1">
      <c r="A6" s="445"/>
      <c r="B6" s="446"/>
      <c r="C6" s="234"/>
      <c r="Q6" s="447"/>
      <c r="R6" s="441"/>
    </row>
    <row r="7" spans="1:18">
      <c r="A7" s="448"/>
      <c r="B7" s="8"/>
      <c r="C7" s="8"/>
      <c r="Q7" s="449"/>
    </row>
    <row r="8" spans="1:18">
      <c r="A8" s="450"/>
      <c r="B8" s="8"/>
      <c r="C8" s="1" t="s">
        <v>432</v>
      </c>
      <c r="D8" s="302"/>
      <c r="E8" s="302"/>
      <c r="F8" s="302"/>
      <c r="G8" s="302"/>
      <c r="H8" s="302"/>
      <c r="I8" s="302"/>
      <c r="J8" s="302"/>
      <c r="K8" s="302"/>
      <c r="L8" s="451"/>
      <c r="M8" s="302"/>
      <c r="N8" s="302"/>
      <c r="O8" s="302"/>
      <c r="P8" s="302"/>
      <c r="Q8" s="449"/>
    </row>
    <row r="9" spans="1:18">
      <c r="A9" s="452" t="s">
        <v>263</v>
      </c>
      <c r="B9" s="453" t="s">
        <v>433</v>
      </c>
      <c r="C9" s="453" t="s">
        <v>434</v>
      </c>
      <c r="D9" s="454" t="s">
        <v>308</v>
      </c>
      <c r="E9" s="454" t="s">
        <v>310</v>
      </c>
      <c r="F9" s="454" t="s">
        <v>312</v>
      </c>
      <c r="G9" s="454" t="s">
        <v>313</v>
      </c>
      <c r="H9" s="454" t="s">
        <v>314</v>
      </c>
      <c r="I9" s="454" t="s">
        <v>315</v>
      </c>
      <c r="J9" s="454" t="s">
        <v>435</v>
      </c>
      <c r="K9" s="454" t="s">
        <v>317</v>
      </c>
      <c r="L9" s="454" t="s">
        <v>318</v>
      </c>
      <c r="M9" s="454" t="s">
        <v>319</v>
      </c>
      <c r="N9" s="454" t="s">
        <v>326</v>
      </c>
      <c r="O9" s="454" t="s">
        <v>321</v>
      </c>
      <c r="P9" s="454" t="s">
        <v>308</v>
      </c>
      <c r="Q9" s="455" t="s">
        <v>436</v>
      </c>
    </row>
    <row r="10" spans="1:18">
      <c r="A10" s="450"/>
      <c r="D10" s="456" t="s">
        <v>437</v>
      </c>
      <c r="E10" s="456" t="s">
        <v>438</v>
      </c>
      <c r="F10" s="456" t="s">
        <v>439</v>
      </c>
      <c r="G10" s="456" t="s">
        <v>440</v>
      </c>
      <c r="H10" s="456" t="s">
        <v>441</v>
      </c>
      <c r="I10" s="456" t="s">
        <v>442</v>
      </c>
      <c r="J10" s="456" t="s">
        <v>443</v>
      </c>
      <c r="K10" s="456" t="s">
        <v>444</v>
      </c>
      <c r="L10" s="456" t="s">
        <v>445</v>
      </c>
      <c r="M10" s="456" t="s">
        <v>446</v>
      </c>
      <c r="N10" s="456" t="s">
        <v>447</v>
      </c>
      <c r="O10" s="456" t="s">
        <v>448</v>
      </c>
      <c r="P10" s="456" t="s">
        <v>449</v>
      </c>
      <c r="Q10" s="457" t="s">
        <v>450</v>
      </c>
    </row>
    <row r="11" spans="1:18">
      <c r="A11" s="450">
        <f>+'2a - Cost Support'!A100+1</f>
        <v>156</v>
      </c>
      <c r="B11" s="2" t="s">
        <v>451</v>
      </c>
      <c r="D11" s="458"/>
      <c r="E11" s="458"/>
      <c r="F11" s="458"/>
      <c r="G11" s="458"/>
      <c r="H11" s="458"/>
      <c r="I11" s="458"/>
      <c r="J11" s="458"/>
      <c r="K11" s="458"/>
      <c r="L11" s="458"/>
      <c r="M11" s="458"/>
      <c r="N11" s="458"/>
      <c r="O11" s="458"/>
      <c r="P11" s="458"/>
      <c r="Q11" s="459"/>
    </row>
    <row r="12" spans="1:18">
      <c r="A12" s="450">
        <f t="shared" ref="A12:A43" si="0">A11+1</f>
        <v>157</v>
      </c>
      <c r="B12" s="460" t="s">
        <v>452</v>
      </c>
      <c r="C12" s="8" t="s">
        <v>453</v>
      </c>
      <c r="D12" s="461">
        <v>0</v>
      </c>
      <c r="E12" s="462">
        <v>0</v>
      </c>
      <c r="F12" s="461">
        <v>0</v>
      </c>
      <c r="G12" s="463">
        <v>0</v>
      </c>
      <c r="H12" s="462">
        <v>0</v>
      </c>
      <c r="I12" s="462">
        <v>0</v>
      </c>
      <c r="J12" s="462">
        <v>0</v>
      </c>
      <c r="K12" s="462">
        <v>0</v>
      </c>
      <c r="L12" s="462">
        <v>0</v>
      </c>
      <c r="M12" s="462">
        <v>0</v>
      </c>
      <c r="N12" s="462">
        <v>0</v>
      </c>
      <c r="O12" s="462">
        <v>0</v>
      </c>
      <c r="P12" s="462">
        <v>0</v>
      </c>
      <c r="Q12" s="459">
        <f>IFERROR(AVERAGE(D12:P12),0)</f>
        <v>0</v>
      </c>
    </row>
    <row r="13" spans="1:18">
      <c r="A13" s="450">
        <f t="shared" si="0"/>
        <v>158</v>
      </c>
      <c r="B13" s="460" t="s">
        <v>454</v>
      </c>
      <c r="C13" s="8" t="s">
        <v>455</v>
      </c>
      <c r="D13" s="464">
        <v>0</v>
      </c>
      <c r="E13" s="464">
        <v>0</v>
      </c>
      <c r="F13" s="464">
        <v>0</v>
      </c>
      <c r="G13" s="464">
        <v>0</v>
      </c>
      <c r="H13" s="464">
        <v>0</v>
      </c>
      <c r="I13" s="464">
        <v>0</v>
      </c>
      <c r="J13" s="464">
        <v>0</v>
      </c>
      <c r="K13" s="464">
        <v>0</v>
      </c>
      <c r="L13" s="464">
        <v>0</v>
      </c>
      <c r="M13" s="464">
        <v>0</v>
      </c>
      <c r="N13" s="464">
        <v>0</v>
      </c>
      <c r="O13" s="464">
        <v>0</v>
      </c>
      <c r="P13" s="464">
        <v>0</v>
      </c>
      <c r="Q13" s="459">
        <f>IFERROR(AVERAGE(D13:P13),0)</f>
        <v>0</v>
      </c>
    </row>
    <row r="14" spans="1:18">
      <c r="A14" s="450">
        <f t="shared" si="0"/>
        <v>159</v>
      </c>
      <c r="B14" s="460" t="s">
        <v>456</v>
      </c>
      <c r="C14" s="8" t="s">
        <v>457</v>
      </c>
      <c r="D14" s="464">
        <v>417496722.7433604</v>
      </c>
      <c r="E14" s="464">
        <v>417496722.7433604</v>
      </c>
      <c r="F14" s="464">
        <v>417496722.7433604</v>
      </c>
      <c r="G14" s="464">
        <v>506095920.21706086</v>
      </c>
      <c r="H14" s="464">
        <v>506095920.21706086</v>
      </c>
      <c r="I14" s="464">
        <v>506095920.21706086</v>
      </c>
      <c r="J14" s="464">
        <v>571375175.16973555</v>
      </c>
      <c r="K14" s="464">
        <v>571375175.16973555</v>
      </c>
      <c r="L14" s="464">
        <v>571375175.16973555</v>
      </c>
      <c r="M14" s="464">
        <v>605979532.4942311</v>
      </c>
      <c r="N14" s="464">
        <v>605979532.4942311</v>
      </c>
      <c r="O14" s="464">
        <v>605979532.4942311</v>
      </c>
      <c r="P14" s="464">
        <v>659247627.58987617</v>
      </c>
      <c r="Q14" s="459">
        <f>IFERROR(AVERAGE(D14:P14),0)</f>
        <v>535545359.95869541</v>
      </c>
    </row>
    <row r="15" spans="1:18" ht="16.5" thickBot="1">
      <c r="A15" s="450">
        <f t="shared" si="0"/>
        <v>160</v>
      </c>
      <c r="B15" s="465" t="s">
        <v>458</v>
      </c>
      <c r="C15" s="8" t="s">
        <v>459</v>
      </c>
      <c r="D15" s="466">
        <v>0</v>
      </c>
      <c r="E15" s="466">
        <v>0</v>
      </c>
      <c r="F15" s="466">
        <v>0</v>
      </c>
      <c r="G15" s="466">
        <v>0</v>
      </c>
      <c r="H15" s="466">
        <v>0</v>
      </c>
      <c r="I15" s="466">
        <v>0</v>
      </c>
      <c r="J15" s="466">
        <v>0</v>
      </c>
      <c r="K15" s="466">
        <v>0</v>
      </c>
      <c r="L15" s="466">
        <v>0</v>
      </c>
      <c r="M15" s="466">
        <v>0</v>
      </c>
      <c r="N15" s="466">
        <v>0</v>
      </c>
      <c r="O15" s="466">
        <v>0</v>
      </c>
      <c r="P15" s="466">
        <v>0</v>
      </c>
      <c r="Q15" s="467">
        <f t="shared" ref="Q15" si="1">IFERROR(AVERAGE(D15:P15),0)</f>
        <v>0</v>
      </c>
    </row>
    <row r="16" spans="1:18" ht="16.5" thickBot="1">
      <c r="A16" s="450">
        <f t="shared" si="0"/>
        <v>161</v>
      </c>
      <c r="B16" s="468" t="s">
        <v>460</v>
      </c>
      <c r="C16" s="8" t="str">
        <f>"Sum Lines "&amp;A11&amp;" - "&amp;A15</f>
        <v>Sum Lines 156 - 160</v>
      </c>
      <c r="D16" s="458">
        <f>SUM(D12:D15)</f>
        <v>417496722.7433604</v>
      </c>
      <c r="E16" s="458">
        <f t="shared" ref="E16:P16" si="2">SUM(E12:E15)</f>
        <v>417496722.7433604</v>
      </c>
      <c r="F16" s="458">
        <f t="shared" si="2"/>
        <v>417496722.7433604</v>
      </c>
      <c r="G16" s="458">
        <f t="shared" si="2"/>
        <v>506095920.21706086</v>
      </c>
      <c r="H16" s="458">
        <f t="shared" si="2"/>
        <v>506095920.21706086</v>
      </c>
      <c r="I16" s="458">
        <f t="shared" si="2"/>
        <v>506095920.21706086</v>
      </c>
      <c r="J16" s="458">
        <f t="shared" si="2"/>
        <v>571375175.16973555</v>
      </c>
      <c r="K16" s="458">
        <f t="shared" si="2"/>
        <v>571375175.16973555</v>
      </c>
      <c r="L16" s="458">
        <f t="shared" si="2"/>
        <v>571375175.16973555</v>
      </c>
      <c r="M16" s="458">
        <f t="shared" si="2"/>
        <v>605979532.4942311</v>
      </c>
      <c r="N16" s="458">
        <f t="shared" si="2"/>
        <v>605979532.4942311</v>
      </c>
      <c r="O16" s="458">
        <f t="shared" si="2"/>
        <v>605979532.4942311</v>
      </c>
      <c r="P16" s="458">
        <f t="shared" si="2"/>
        <v>659247627.58987617</v>
      </c>
      <c r="Q16" s="469">
        <f>SUM(Q12:Q15)</f>
        <v>535545359.95869541</v>
      </c>
    </row>
    <row r="17" spans="1:17" ht="16.5" thickBot="1">
      <c r="A17" s="450">
        <f t="shared" si="0"/>
        <v>162</v>
      </c>
      <c r="D17" s="458"/>
      <c r="E17" s="458"/>
      <c r="F17" s="458"/>
      <c r="G17" s="458"/>
      <c r="H17" s="458"/>
      <c r="I17" s="458"/>
      <c r="J17" s="458"/>
      <c r="K17" s="458"/>
      <c r="L17" s="458"/>
      <c r="M17" s="458"/>
      <c r="N17" s="458"/>
      <c r="O17" s="458"/>
      <c r="P17" s="458"/>
      <c r="Q17" s="459"/>
    </row>
    <row r="18" spans="1:17" ht="16.5" thickBot="1">
      <c r="A18" s="450">
        <f t="shared" si="0"/>
        <v>163</v>
      </c>
      <c r="B18" s="468" t="s">
        <v>461</v>
      </c>
      <c r="C18" s="8" t="s">
        <v>462</v>
      </c>
      <c r="D18" s="462">
        <v>0</v>
      </c>
      <c r="E18" s="462">
        <v>0</v>
      </c>
      <c r="F18" s="462">
        <v>0</v>
      </c>
      <c r="G18" s="462">
        <v>0</v>
      </c>
      <c r="H18" s="462">
        <v>0</v>
      </c>
      <c r="I18" s="462">
        <v>0</v>
      </c>
      <c r="J18" s="462">
        <v>0</v>
      </c>
      <c r="K18" s="462">
        <v>0</v>
      </c>
      <c r="L18" s="462">
        <v>0</v>
      </c>
      <c r="M18" s="462">
        <v>0</v>
      </c>
      <c r="N18" s="462">
        <v>0</v>
      </c>
      <c r="O18" s="462">
        <v>0</v>
      </c>
      <c r="P18" s="462">
        <v>0</v>
      </c>
      <c r="Q18" s="469">
        <f>IFERROR(AVERAGE(D18:P18),0)</f>
        <v>0</v>
      </c>
    </row>
    <row r="19" spans="1:17">
      <c r="A19" s="450">
        <f t="shared" si="0"/>
        <v>164</v>
      </c>
      <c r="D19" s="458"/>
      <c r="E19" s="458"/>
      <c r="F19" s="458"/>
      <c r="G19" s="458"/>
      <c r="H19" s="458"/>
      <c r="I19" s="458"/>
      <c r="J19" s="458"/>
      <c r="K19" s="458"/>
      <c r="L19" s="458"/>
      <c r="M19" s="458"/>
      <c r="N19" s="458"/>
      <c r="O19" s="458"/>
      <c r="P19" s="458"/>
      <c r="Q19" s="459"/>
    </row>
    <row r="20" spans="1:17">
      <c r="A20" s="450">
        <f t="shared" si="0"/>
        <v>165</v>
      </c>
      <c r="B20" s="2" t="s">
        <v>463</v>
      </c>
      <c r="C20" s="8" t="s">
        <v>464</v>
      </c>
      <c r="D20" s="462">
        <v>755216555.80503762</v>
      </c>
      <c r="E20" s="462">
        <v>811439288.15389502</v>
      </c>
      <c r="F20" s="462">
        <v>856488756.93596137</v>
      </c>
      <c r="G20" s="462">
        <v>820601896.89056671</v>
      </c>
      <c r="H20" s="462">
        <v>875885668.52264535</v>
      </c>
      <c r="I20" s="462">
        <v>940233636.97301567</v>
      </c>
      <c r="J20" s="462">
        <v>911656865.4225688</v>
      </c>
      <c r="K20" s="462">
        <v>939759577.44290733</v>
      </c>
      <c r="L20" s="462">
        <v>968769790.99263668</v>
      </c>
      <c r="M20" s="462">
        <v>959924859.12954974</v>
      </c>
      <c r="N20" s="462">
        <v>1012285263.3620646</v>
      </c>
      <c r="O20" s="462">
        <v>1047388235.2941239</v>
      </c>
      <c r="P20" s="462">
        <v>1034226024.5795842</v>
      </c>
      <c r="Q20" s="459">
        <f>IFERROR(AVERAGE(D20:P20),0)</f>
        <v>917990493.808043</v>
      </c>
    </row>
    <row r="21" spans="1:17">
      <c r="A21" s="450">
        <f t="shared" si="0"/>
        <v>166</v>
      </c>
      <c r="B21" s="460" t="s">
        <v>465</v>
      </c>
      <c r="C21" s="8" t="s">
        <v>462</v>
      </c>
      <c r="D21" s="462">
        <v>0</v>
      </c>
      <c r="E21" s="462">
        <v>0</v>
      </c>
      <c r="F21" s="462">
        <v>0</v>
      </c>
      <c r="G21" s="462">
        <v>0</v>
      </c>
      <c r="H21" s="462">
        <v>0</v>
      </c>
      <c r="I21" s="462">
        <v>0</v>
      </c>
      <c r="J21" s="462">
        <v>0</v>
      </c>
      <c r="K21" s="462">
        <v>0</v>
      </c>
      <c r="L21" s="462">
        <v>0</v>
      </c>
      <c r="M21" s="462">
        <v>0</v>
      </c>
      <c r="N21" s="462">
        <v>0</v>
      </c>
      <c r="O21" s="462">
        <v>0</v>
      </c>
      <c r="P21" s="462">
        <v>0</v>
      </c>
      <c r="Q21" s="459">
        <f>IFERROR(AVERAGE(D21:P21),0)</f>
        <v>0</v>
      </c>
    </row>
    <row r="22" spans="1:17">
      <c r="A22" s="450">
        <f t="shared" si="0"/>
        <v>167</v>
      </c>
      <c r="B22" s="470" t="s">
        <v>466</v>
      </c>
      <c r="C22" s="8" t="s">
        <v>467</v>
      </c>
      <c r="D22" s="462">
        <v>0</v>
      </c>
      <c r="E22" s="462">
        <v>0</v>
      </c>
      <c r="F22" s="462">
        <v>0</v>
      </c>
      <c r="G22" s="462">
        <v>0</v>
      </c>
      <c r="H22" s="462">
        <v>0</v>
      </c>
      <c r="I22" s="462">
        <v>0</v>
      </c>
      <c r="J22" s="462">
        <v>0</v>
      </c>
      <c r="K22" s="462">
        <v>0</v>
      </c>
      <c r="L22" s="462">
        <v>0</v>
      </c>
      <c r="M22" s="462">
        <v>0</v>
      </c>
      <c r="N22" s="462">
        <v>0</v>
      </c>
      <c r="O22" s="462">
        <v>0</v>
      </c>
      <c r="P22" s="462">
        <v>0</v>
      </c>
      <c r="Q22" s="459">
        <f>IFERROR(AVERAGE(D22:P22),0)</f>
        <v>0</v>
      </c>
    </row>
    <row r="23" spans="1:17">
      <c r="A23" s="450">
        <f t="shared" si="0"/>
        <v>168</v>
      </c>
      <c r="B23" s="470" t="s">
        <v>468</v>
      </c>
      <c r="C23" s="8" t="s">
        <v>252</v>
      </c>
      <c r="D23" s="464">
        <v>114672453.87</v>
      </c>
      <c r="E23" s="464">
        <v>114672453.87</v>
      </c>
      <c r="F23" s="464">
        <v>114672453.87</v>
      </c>
      <c r="G23" s="464">
        <v>114672453.87</v>
      </c>
      <c r="H23" s="464">
        <v>114672453.87</v>
      </c>
      <c r="I23" s="464">
        <v>114672453.87</v>
      </c>
      <c r="J23" s="464">
        <v>114672453.87</v>
      </c>
      <c r="K23" s="464">
        <v>114672453.87</v>
      </c>
      <c r="L23" s="464">
        <v>114672453.87</v>
      </c>
      <c r="M23" s="464">
        <v>114672453.87</v>
      </c>
      <c r="N23" s="464">
        <v>114672453.87</v>
      </c>
      <c r="O23" s="464">
        <v>114672453.87</v>
      </c>
      <c r="P23" s="464">
        <v>114672453.87</v>
      </c>
      <c r="Q23" s="471">
        <f>IFERROR(AVERAGE(D23:P23),0)</f>
        <v>114672453.86999999</v>
      </c>
    </row>
    <row r="24" spans="1:17" ht="16.5" thickBot="1">
      <c r="A24" s="450">
        <f t="shared" si="0"/>
        <v>169</v>
      </c>
      <c r="B24" s="470" t="s">
        <v>469</v>
      </c>
      <c r="C24" s="8" t="s">
        <v>470</v>
      </c>
      <c r="D24" s="466">
        <v>0</v>
      </c>
      <c r="E24" s="466">
        <v>0</v>
      </c>
      <c r="F24" s="466">
        <v>0</v>
      </c>
      <c r="G24" s="466">
        <v>0</v>
      </c>
      <c r="H24" s="466">
        <v>0</v>
      </c>
      <c r="I24" s="466">
        <v>0</v>
      </c>
      <c r="J24" s="466">
        <v>0</v>
      </c>
      <c r="K24" s="466">
        <v>0</v>
      </c>
      <c r="L24" s="466">
        <v>0</v>
      </c>
      <c r="M24" s="466">
        <v>0</v>
      </c>
      <c r="N24" s="466">
        <v>0</v>
      </c>
      <c r="O24" s="466">
        <v>0</v>
      </c>
      <c r="P24" s="466">
        <v>0</v>
      </c>
      <c r="Q24" s="471">
        <f>IFERROR(AVERAGE(D24:P24),0)</f>
        <v>0</v>
      </c>
    </row>
    <row r="25" spans="1:17" ht="16.5" thickBot="1">
      <c r="A25" s="450">
        <f t="shared" si="0"/>
        <v>170</v>
      </c>
      <c r="B25" s="2" t="str">
        <f>"Adjusted Common Equity"</f>
        <v>Adjusted Common Equity</v>
      </c>
      <c r="C25" s="8" t="str">
        <f>"Ln "&amp;A20&amp;" - "&amp;A21&amp;" - "&amp;A22&amp;" - "&amp;A23&amp;" -"&amp;A24</f>
        <v>Ln 165 - 166 - 167 - 168 -169</v>
      </c>
      <c r="D25" s="458">
        <f>D20-D21-D22-D23-D24</f>
        <v>640544101.93503761</v>
      </c>
      <c r="E25" s="458">
        <f t="shared" ref="E25:P25" si="3">E20-E21-E22-E23-E24</f>
        <v>696766834.28389502</v>
      </c>
      <c r="F25" s="458">
        <f t="shared" si="3"/>
        <v>741816303.06596136</v>
      </c>
      <c r="G25" s="458">
        <f t="shared" si="3"/>
        <v>705929443.0205667</v>
      </c>
      <c r="H25" s="458">
        <f t="shared" si="3"/>
        <v>761213214.65264535</v>
      </c>
      <c r="I25" s="458">
        <f t="shared" si="3"/>
        <v>825561183.10301566</v>
      </c>
      <c r="J25" s="458">
        <f t="shared" si="3"/>
        <v>796984411.55256879</v>
      </c>
      <c r="K25" s="458">
        <f t="shared" si="3"/>
        <v>825087123.57290733</v>
      </c>
      <c r="L25" s="458">
        <f t="shared" si="3"/>
        <v>854097337.12263668</v>
      </c>
      <c r="M25" s="458">
        <f t="shared" si="3"/>
        <v>845252405.25954974</v>
      </c>
      <c r="N25" s="458">
        <f t="shared" si="3"/>
        <v>897612809.4920646</v>
      </c>
      <c r="O25" s="458">
        <f t="shared" si="3"/>
        <v>932715781.42412388</v>
      </c>
      <c r="P25" s="458">
        <f t="shared" si="3"/>
        <v>919553570.70958424</v>
      </c>
      <c r="Q25" s="469">
        <f>Q20-Q21-Q22-Q24-Q23</f>
        <v>803318039.938043</v>
      </c>
    </row>
    <row r="26" spans="1:17">
      <c r="A26" s="450">
        <f t="shared" si="0"/>
        <v>171</v>
      </c>
      <c r="D26" s="458"/>
      <c r="E26" s="458"/>
      <c r="F26" s="458"/>
      <c r="G26" s="458"/>
      <c r="H26" s="458"/>
      <c r="I26" s="458"/>
      <c r="J26" s="458"/>
      <c r="K26" s="458"/>
      <c r="L26" s="458"/>
      <c r="M26" s="458"/>
      <c r="N26" s="458"/>
      <c r="O26" s="458"/>
      <c r="P26" s="458"/>
      <c r="Q26" s="459"/>
    </row>
    <row r="27" spans="1:17">
      <c r="A27" s="450">
        <f t="shared" si="0"/>
        <v>172</v>
      </c>
      <c r="B27" s="2" t="str">
        <f>"Total (Line "&amp;A16&amp;" plus Line "&amp;A18&amp;" plus Line "&amp;A25&amp;")"</f>
        <v>Total (Line 161 plus Line 163 plus Line 170)</v>
      </c>
      <c r="D27" s="458">
        <f>D16+D18+D25</f>
        <v>1058040824.678398</v>
      </c>
      <c r="E27" s="458">
        <f t="shared" ref="E27:Q27" si="4">E16+E18+E25</f>
        <v>1114263557.0272555</v>
      </c>
      <c r="F27" s="458">
        <f t="shared" si="4"/>
        <v>1159313025.8093219</v>
      </c>
      <c r="G27" s="458">
        <f t="shared" si="4"/>
        <v>1212025363.2376275</v>
      </c>
      <c r="H27" s="458">
        <f t="shared" si="4"/>
        <v>1267309134.8697062</v>
      </c>
      <c r="I27" s="458">
        <f t="shared" si="4"/>
        <v>1331657103.3200765</v>
      </c>
      <c r="J27" s="458">
        <f t="shared" si="4"/>
        <v>1368359586.7223043</v>
      </c>
      <c r="K27" s="458">
        <f t="shared" si="4"/>
        <v>1396462298.7426429</v>
      </c>
      <c r="L27" s="458">
        <f t="shared" si="4"/>
        <v>1425472512.2923722</v>
      </c>
      <c r="M27" s="458">
        <f t="shared" si="4"/>
        <v>1451231937.7537808</v>
      </c>
      <c r="N27" s="458">
        <f t="shared" si="4"/>
        <v>1503592341.9862957</v>
      </c>
      <c r="O27" s="458">
        <f>O16+O18+O25</f>
        <v>1538695313.918355</v>
      </c>
      <c r="P27" s="458">
        <f t="shared" si="4"/>
        <v>1578801198.2994604</v>
      </c>
      <c r="Q27" s="459">
        <f t="shared" si="4"/>
        <v>1338863399.8967385</v>
      </c>
    </row>
    <row r="28" spans="1:17">
      <c r="A28" s="450">
        <f t="shared" si="0"/>
        <v>173</v>
      </c>
      <c r="D28" s="472"/>
      <c r="E28" s="458"/>
      <c r="F28" s="458"/>
      <c r="G28" s="458"/>
      <c r="H28" s="458"/>
      <c r="I28" s="458"/>
      <c r="J28" s="458"/>
      <c r="K28" s="458"/>
      <c r="L28" s="458"/>
      <c r="M28" s="458"/>
      <c r="N28" s="458"/>
      <c r="O28" s="458"/>
      <c r="P28" s="458"/>
      <c r="Q28" s="459"/>
    </row>
    <row r="29" spans="1:17">
      <c r="A29" s="450">
        <f t="shared" si="0"/>
        <v>174</v>
      </c>
      <c r="B29" s="2" t="s">
        <v>471</v>
      </c>
      <c r="D29" s="473"/>
      <c r="E29" s="472"/>
      <c r="F29" s="472"/>
      <c r="G29" s="472"/>
      <c r="H29" s="472"/>
      <c r="I29" s="472"/>
      <c r="J29" s="472"/>
      <c r="K29" s="472"/>
      <c r="L29" s="472"/>
      <c r="M29" s="472"/>
      <c r="N29" s="472"/>
      <c r="O29" s="472"/>
      <c r="P29" s="472"/>
      <c r="Q29" s="472"/>
    </row>
    <row r="30" spans="1:17">
      <c r="A30" s="450">
        <f t="shared" si="0"/>
        <v>175</v>
      </c>
      <c r="B30" s="470" t="s">
        <v>472</v>
      </c>
      <c r="C30" s="8" t="s">
        <v>473</v>
      </c>
      <c r="D30" s="302"/>
      <c r="E30" s="458"/>
      <c r="F30" s="458"/>
      <c r="G30" s="473"/>
      <c r="H30" s="473"/>
      <c r="I30" s="473"/>
      <c r="J30" s="473"/>
      <c r="K30" s="473"/>
      <c r="L30" s="473"/>
      <c r="M30" s="473"/>
      <c r="N30" s="473"/>
      <c r="O30" s="473"/>
      <c r="P30" s="474">
        <v>27814520.066058636</v>
      </c>
      <c r="Q30" s="475"/>
    </row>
    <row r="31" spans="1:17">
      <c r="A31" s="450">
        <f t="shared" si="0"/>
        <v>176</v>
      </c>
      <c r="B31" s="470" t="s">
        <v>474</v>
      </c>
      <c r="C31" s="8" t="s">
        <v>475</v>
      </c>
      <c r="D31" s="302"/>
      <c r="E31" s="458"/>
      <c r="F31" s="458"/>
      <c r="G31" s="473"/>
      <c r="H31" s="473"/>
      <c r="I31" s="473"/>
      <c r="J31" s="473"/>
      <c r="K31" s="473"/>
      <c r="L31" s="473"/>
      <c r="M31" s="473"/>
      <c r="N31" s="473"/>
      <c r="O31" s="473"/>
      <c r="P31" s="474">
        <v>1458042.1400000001</v>
      </c>
      <c r="Q31" s="476"/>
    </row>
    <row r="32" spans="1:17">
      <c r="A32" s="450">
        <f t="shared" si="0"/>
        <v>177</v>
      </c>
      <c r="B32" s="470" t="s">
        <v>476</v>
      </c>
      <c r="C32" s="8" t="s">
        <v>477</v>
      </c>
      <c r="D32" s="302"/>
      <c r="E32" s="458"/>
      <c r="F32" s="458"/>
      <c r="G32" s="473">
        <v>0</v>
      </c>
      <c r="H32" s="473">
        <v>0</v>
      </c>
      <c r="I32" s="473">
        <v>0</v>
      </c>
      <c r="J32" s="473">
        <v>0</v>
      </c>
      <c r="K32" s="473">
        <v>0</v>
      </c>
      <c r="L32" s="473">
        <v>0</v>
      </c>
      <c r="M32" s="473">
        <v>0</v>
      </c>
      <c r="N32" s="473">
        <v>0</v>
      </c>
      <c r="O32" s="473">
        <v>0</v>
      </c>
      <c r="P32" s="477">
        <v>0</v>
      </c>
      <c r="Q32" s="475"/>
    </row>
    <row r="33" spans="1:17">
      <c r="A33" s="450">
        <f t="shared" si="0"/>
        <v>178</v>
      </c>
      <c r="B33" s="470" t="s">
        <v>478</v>
      </c>
      <c r="C33" s="8" t="s">
        <v>479</v>
      </c>
      <c r="D33" s="302"/>
      <c r="E33" s="458"/>
      <c r="F33" s="458"/>
      <c r="G33" s="473"/>
      <c r="H33" s="473"/>
      <c r="I33" s="473"/>
      <c r="J33" s="473"/>
      <c r="K33" s="473"/>
      <c r="L33" s="473"/>
      <c r="M33" s="473"/>
      <c r="N33" s="473"/>
      <c r="O33" s="473"/>
      <c r="P33" s="477">
        <v>0</v>
      </c>
      <c r="Q33" s="475"/>
    </row>
    <row r="34" spans="1:17">
      <c r="A34" s="450">
        <f t="shared" si="0"/>
        <v>179</v>
      </c>
      <c r="B34" s="478" t="s">
        <v>480</v>
      </c>
      <c r="C34" s="8" t="s">
        <v>481</v>
      </c>
      <c r="D34" s="302"/>
      <c r="E34" s="458"/>
      <c r="F34" s="458"/>
      <c r="G34" s="473"/>
      <c r="H34" s="473"/>
      <c r="I34" s="473"/>
      <c r="J34" s="473"/>
      <c r="K34" s="473"/>
      <c r="L34" s="473"/>
      <c r="M34" s="473"/>
      <c r="N34" s="473"/>
      <c r="O34" s="473"/>
      <c r="P34" s="477">
        <v>0</v>
      </c>
      <c r="Q34" s="475"/>
    </row>
    <row r="35" spans="1:17">
      <c r="A35" s="450">
        <f t="shared" si="0"/>
        <v>180</v>
      </c>
      <c r="B35" s="478" t="s">
        <v>482</v>
      </c>
      <c r="C35" s="8" t="s">
        <v>483</v>
      </c>
      <c r="D35" s="302"/>
      <c r="E35" s="458"/>
      <c r="F35" s="458"/>
      <c r="G35" s="473"/>
      <c r="H35" s="473"/>
      <c r="I35" s="473"/>
      <c r="J35" s="473"/>
      <c r="K35" s="473"/>
      <c r="L35" s="473"/>
      <c r="M35" s="473"/>
      <c r="N35" s="473"/>
      <c r="O35" s="473"/>
      <c r="P35" s="479">
        <v>0</v>
      </c>
      <c r="Q35" s="475"/>
    </row>
    <row r="36" spans="1:17">
      <c r="A36" s="450">
        <f>A35+1</f>
        <v>181</v>
      </c>
      <c r="B36" s="470" t="s">
        <v>484</v>
      </c>
      <c r="C36" s="8" t="str">
        <f>"Sum Lines "&amp;A30&amp;" - "&amp;A35</f>
        <v>Sum Lines 175 - 180</v>
      </c>
      <c r="D36" s="458"/>
      <c r="E36" s="458"/>
      <c r="F36" s="458"/>
      <c r="G36" s="473"/>
      <c r="H36" s="473"/>
      <c r="I36" s="473"/>
      <c r="J36" s="473"/>
      <c r="K36" s="473"/>
      <c r="L36" s="473"/>
      <c r="M36" s="473"/>
      <c r="N36" s="473"/>
      <c r="O36" s="473"/>
      <c r="P36" s="473">
        <f>SUM(P30:P35)</f>
        <v>29272562.206058636</v>
      </c>
      <c r="Q36" s="475"/>
    </row>
    <row r="37" spans="1:17" ht="16.5" thickBot="1">
      <c r="A37" s="450">
        <f t="shared" si="0"/>
        <v>182</v>
      </c>
      <c r="B37" s="460"/>
      <c r="D37" s="458"/>
      <c r="E37" s="458"/>
      <c r="F37" s="458"/>
      <c r="G37" s="458"/>
      <c r="H37" s="458"/>
      <c r="I37" s="458"/>
      <c r="J37" s="458"/>
      <c r="K37" s="458"/>
      <c r="L37" s="458"/>
      <c r="M37" s="458"/>
      <c r="N37" s="458"/>
      <c r="O37" s="458"/>
      <c r="P37" s="458"/>
      <c r="Q37" s="475"/>
    </row>
    <row r="38" spans="1:17" ht="16.5" thickBot="1">
      <c r="A38" s="450">
        <f t="shared" si="0"/>
        <v>183</v>
      </c>
      <c r="B38" s="460" t="str">
        <f>"Average Cost of Debt (Line "&amp;A36&amp;" col (m) / Line "&amp;A16&amp;" col (n))"</f>
        <v>Average Cost of Debt (Line 181 col (m) / Line 161 col (n))</v>
      </c>
      <c r="D38" s="458"/>
      <c r="E38" s="458"/>
      <c r="F38" s="458"/>
      <c r="G38" s="473"/>
      <c r="H38" s="473"/>
      <c r="I38" s="473"/>
      <c r="J38" s="473"/>
      <c r="K38" s="473"/>
      <c r="L38" s="473"/>
      <c r="M38" s="473"/>
      <c r="N38" s="473"/>
      <c r="O38" s="473"/>
      <c r="P38" s="480">
        <f>IF(Q16=0,0,ROUND(P36/Q16,4))</f>
        <v>5.4699999999999999E-2</v>
      </c>
      <c r="Q38" s="475"/>
    </row>
    <row r="39" spans="1:17">
      <c r="A39" s="450">
        <f t="shared" si="0"/>
        <v>184</v>
      </c>
      <c r="B39" s="460"/>
      <c r="D39" s="458"/>
      <c r="E39" s="458"/>
      <c r="F39" s="458"/>
      <c r="G39" s="473"/>
      <c r="H39" s="473"/>
      <c r="I39" s="473"/>
      <c r="J39" s="473"/>
      <c r="K39" s="473"/>
      <c r="L39" s="473"/>
      <c r="M39" s="473"/>
      <c r="N39" s="473"/>
      <c r="O39" s="473"/>
      <c r="P39" s="481"/>
      <c r="Q39" s="475"/>
    </row>
    <row r="40" spans="1:17">
      <c r="A40" s="450">
        <f t="shared" si="0"/>
        <v>185</v>
      </c>
      <c r="B40" s="2" t="s">
        <v>485</v>
      </c>
      <c r="D40" s="458"/>
      <c r="E40" s="458"/>
      <c r="F40" s="458"/>
      <c r="G40" s="473"/>
      <c r="H40" s="473"/>
      <c r="I40" s="473"/>
      <c r="J40" s="473"/>
      <c r="K40" s="473"/>
      <c r="L40" s="473"/>
      <c r="M40" s="473"/>
      <c r="N40" s="473"/>
      <c r="O40" s="473"/>
      <c r="P40" s="473"/>
      <c r="Q40" s="475"/>
    </row>
    <row r="41" spans="1:17">
      <c r="A41" s="450">
        <f t="shared" si="0"/>
        <v>186</v>
      </c>
      <c r="B41" s="460" t="s">
        <v>486</v>
      </c>
      <c r="C41" s="8" t="s">
        <v>487</v>
      </c>
      <c r="D41" s="458"/>
      <c r="E41" s="458"/>
      <c r="F41" s="458"/>
      <c r="G41" s="473"/>
      <c r="H41" s="473"/>
      <c r="I41" s="473"/>
      <c r="J41" s="473"/>
      <c r="K41" s="473"/>
      <c r="L41" s="473"/>
      <c r="M41" s="473"/>
      <c r="N41" s="473"/>
      <c r="O41" s="473"/>
      <c r="P41" s="482">
        <v>0</v>
      </c>
      <c r="Q41" s="475"/>
    </row>
    <row r="42" spans="1:17">
      <c r="A42" s="450">
        <f t="shared" si="0"/>
        <v>187</v>
      </c>
      <c r="B42" s="460"/>
      <c r="D42" s="458"/>
      <c r="E42" s="458"/>
      <c r="F42" s="458"/>
      <c r="G42" s="473"/>
      <c r="H42" s="473"/>
      <c r="I42" s="473"/>
      <c r="J42" s="473"/>
      <c r="K42" s="473"/>
      <c r="L42" s="473"/>
      <c r="M42" s="473"/>
      <c r="N42" s="473"/>
      <c r="O42" s="473"/>
      <c r="P42" s="473"/>
      <c r="Q42" s="475"/>
    </row>
    <row r="43" spans="1:17">
      <c r="A43" s="450">
        <f t="shared" si="0"/>
        <v>188</v>
      </c>
      <c r="B43" s="460" t="str">
        <f>"Average Cost of Preferred Stock (Line "&amp;A41&amp;" col (m) / Line "&amp;A18&amp;" col (n))"</f>
        <v>Average Cost of Preferred Stock (Line 186 col (m) / Line 163 col (n))</v>
      </c>
      <c r="D43" s="458"/>
      <c r="E43" s="458"/>
      <c r="F43" s="458"/>
      <c r="G43" s="473"/>
      <c r="H43" s="473"/>
      <c r="I43" s="473"/>
      <c r="J43" s="473"/>
      <c r="K43" s="473"/>
      <c r="L43" s="473"/>
      <c r="M43" s="473"/>
      <c r="N43" s="473"/>
      <c r="O43" s="473"/>
      <c r="P43" s="473">
        <f>IF(P41=0,0,ROUND(P41/Q18,4))</f>
        <v>0</v>
      </c>
      <c r="Q43" s="475"/>
    </row>
    <row r="44" spans="1:17">
      <c r="A44" s="450"/>
      <c r="B44" s="460"/>
      <c r="D44" s="458"/>
      <c r="E44" s="458"/>
      <c r="F44" s="458"/>
      <c r="G44" s="473"/>
      <c r="H44" s="473"/>
      <c r="I44" s="473"/>
      <c r="J44" s="473"/>
      <c r="K44" s="473"/>
      <c r="L44" s="473"/>
      <c r="M44" s="473"/>
      <c r="N44" s="473"/>
      <c r="O44" s="473"/>
      <c r="P44" s="473"/>
      <c r="Q44" s="475"/>
    </row>
    <row r="45" spans="1:17">
      <c r="A45" s="450"/>
      <c r="B45" s="1021" t="s">
        <v>488</v>
      </c>
      <c r="C45" s="1021"/>
      <c r="D45" s="1021"/>
      <c r="E45" s="1021"/>
      <c r="F45" s="1021"/>
      <c r="G45" s="1021"/>
      <c r="H45" s="458"/>
      <c r="I45" s="458"/>
      <c r="J45" s="458"/>
      <c r="K45" s="458"/>
      <c r="L45" s="458"/>
      <c r="M45" s="458"/>
      <c r="N45" s="458"/>
      <c r="O45" s="458"/>
      <c r="P45" s="458"/>
      <c r="Q45" s="459"/>
    </row>
    <row r="46" spans="1:17">
      <c r="A46" s="450"/>
      <c r="B46" s="2" t="s">
        <v>489</v>
      </c>
      <c r="D46" s="458"/>
      <c r="E46" s="458"/>
      <c r="F46" s="458"/>
      <c r="G46" s="458"/>
      <c r="H46" s="458"/>
      <c r="I46" s="458"/>
      <c r="J46" s="458"/>
      <c r="K46" s="458"/>
      <c r="L46" s="458"/>
      <c r="M46" s="458"/>
      <c r="N46" s="458"/>
      <c r="O46" s="458"/>
      <c r="P46" s="458"/>
      <c r="Q46" s="459"/>
    </row>
    <row r="47" spans="1:17" ht="16.5" thickBot="1">
      <c r="A47" s="483"/>
      <c r="B47" s="484" t="s">
        <v>490</v>
      </c>
      <c r="C47" s="484"/>
      <c r="D47" s="485"/>
      <c r="E47" s="485"/>
      <c r="F47" s="485"/>
      <c r="G47" s="485"/>
      <c r="H47" s="485"/>
      <c r="I47" s="485"/>
      <c r="J47" s="485"/>
      <c r="K47" s="485"/>
      <c r="L47" s="485"/>
      <c r="M47" s="485"/>
      <c r="N47" s="485"/>
      <c r="O47" s="485"/>
      <c r="P47" s="485"/>
      <c r="Q47" s="486"/>
    </row>
    <row r="48" spans="1:17">
      <c r="D48" s="43"/>
      <c r="E48" s="43"/>
      <c r="F48" s="43"/>
      <c r="G48" s="43"/>
      <c r="H48" s="43"/>
      <c r="I48" s="43"/>
      <c r="J48" s="43"/>
      <c r="K48" s="43"/>
      <c r="L48" s="43"/>
      <c r="M48" s="43"/>
      <c r="N48" s="43"/>
      <c r="O48" s="43"/>
      <c r="P48" s="43"/>
      <c r="Q48" s="43"/>
    </row>
    <row r="51" spans="4:16">
      <c r="D51" s="487"/>
      <c r="E51" s="441"/>
      <c r="F51" s="456"/>
      <c r="G51" s="456"/>
      <c r="H51" s="456"/>
      <c r="I51" s="456"/>
      <c r="J51" s="456"/>
      <c r="K51" s="456"/>
      <c r="L51" s="456"/>
      <c r="M51" s="456"/>
      <c r="N51" s="456"/>
      <c r="O51" s="456"/>
      <c r="P51" s="456"/>
    </row>
    <row r="52" spans="4:16">
      <c r="D52"/>
      <c r="E52"/>
      <c r="F52"/>
      <c r="G52"/>
      <c r="H52"/>
      <c r="I52"/>
      <c r="J52"/>
      <c r="K52"/>
      <c r="L52"/>
      <c r="M52"/>
      <c r="N52"/>
      <c r="O52"/>
      <c r="P52"/>
    </row>
    <row r="53" spans="4:16">
      <c r="D53" s="487"/>
      <c r="E53" s="302"/>
      <c r="F53" s="302"/>
      <c r="G53" s="302"/>
      <c r="H53" s="302"/>
      <c r="I53" s="302"/>
      <c r="J53" s="302"/>
      <c r="K53" s="302"/>
      <c r="L53" s="302"/>
      <c r="M53" s="302"/>
      <c r="N53" s="302"/>
      <c r="O53" s="302"/>
      <c r="P53" s="302"/>
    </row>
  </sheetData>
  <mergeCells count="5">
    <mergeCell ref="A1:Q1"/>
    <mergeCell ref="A2:Q2"/>
    <mergeCell ref="A5:F5"/>
    <mergeCell ref="H5:M5"/>
    <mergeCell ref="B45:G45"/>
  </mergeCells>
  <pageMargins left="0.7" right="0.7" top="0.75" bottom="0.75" header="0.3" footer="0.3"/>
  <pageSetup scale="39" orientation="landscape" r:id="rId1"/>
  <rowBreaks count="1" manualBreakCount="1">
    <brk id="48" max="16383" man="1"/>
  </rowBreaks>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DCD8-B41C-4F25-8C04-10530E0266AE}">
  <sheetPr>
    <pageSetUpPr fitToPage="1"/>
  </sheetPr>
  <dimension ref="A1:L55"/>
  <sheetViews>
    <sheetView view="pageBreakPreview" zoomScale="90" zoomScaleNormal="100" zoomScaleSheetLayoutView="90" workbookViewId="0">
      <selection sqref="A1:J1"/>
    </sheetView>
  </sheetViews>
  <sheetFormatPr defaultRowHeight="15"/>
  <cols>
    <col min="2" max="2" width="23.44140625" customWidth="1"/>
    <col min="3" max="3" width="43.77734375" customWidth="1"/>
    <col min="4" max="4" width="16" bestFit="1" customWidth="1"/>
    <col min="9" max="9" width="12.77734375" customWidth="1"/>
    <col min="10" max="10" width="15.44140625" customWidth="1"/>
    <col min="11" max="12" width="13.44140625" bestFit="1" customWidth="1"/>
  </cols>
  <sheetData>
    <row r="1" spans="1:12" ht="15.75" customHeight="1">
      <c r="A1" s="1058" t="s">
        <v>491</v>
      </c>
      <c r="B1" s="1058"/>
      <c r="C1" s="1058"/>
      <c r="D1" s="1058"/>
      <c r="E1" s="1058"/>
      <c r="F1" s="1058"/>
      <c r="G1" s="1058"/>
      <c r="H1" s="1058"/>
      <c r="I1" s="1058"/>
      <c r="J1" s="1058"/>
    </row>
    <row r="2" spans="1:12" ht="15.75">
      <c r="A2" s="1059" t="str">
        <f>+'2 - Cost Support '!A2:F2</f>
        <v>GridLiance West LLC (GLW)</v>
      </c>
      <c r="B2" s="1059"/>
      <c r="C2" s="1059"/>
      <c r="D2" s="1059"/>
      <c r="E2" s="1059"/>
      <c r="F2" s="1059"/>
      <c r="G2" s="1059"/>
      <c r="H2" s="1059"/>
      <c r="I2" s="1059"/>
      <c r="J2" s="1059"/>
    </row>
    <row r="3" spans="1:12" ht="15.75">
      <c r="A3" s="51"/>
      <c r="B3" s="488"/>
      <c r="C3" s="488"/>
      <c r="D3" s="488"/>
      <c r="E3" s="488"/>
      <c r="F3" s="488"/>
      <c r="G3" s="488"/>
      <c r="H3" s="488"/>
      <c r="I3" s="488"/>
      <c r="J3" s="488"/>
    </row>
    <row r="4" spans="1:12" ht="15.75">
      <c r="A4" s="51"/>
      <c r="B4" s="488"/>
      <c r="C4" s="488"/>
      <c r="D4" s="488"/>
      <c r="E4" s="488"/>
      <c r="F4" s="489"/>
      <c r="G4" s="488"/>
      <c r="H4" s="488"/>
      <c r="I4" s="488"/>
      <c r="J4" s="488"/>
    </row>
    <row r="5" spans="1:12" ht="15.75">
      <c r="A5" s="490" t="s">
        <v>492</v>
      </c>
      <c r="B5" s="488"/>
      <c r="C5" s="488"/>
      <c r="D5" s="488"/>
      <c r="E5" s="488"/>
      <c r="F5" s="489"/>
      <c r="G5" s="488"/>
      <c r="H5" s="488"/>
      <c r="I5" s="488"/>
      <c r="J5" s="488"/>
    </row>
    <row r="6" spans="1:12" ht="15.75">
      <c r="A6" s="51"/>
      <c r="B6" s="491" t="s">
        <v>203</v>
      </c>
      <c r="C6" s="491" t="s">
        <v>205</v>
      </c>
      <c r="D6" s="492" t="s">
        <v>207</v>
      </c>
      <c r="E6" s="491" t="s">
        <v>209</v>
      </c>
      <c r="F6" s="491" t="s">
        <v>212</v>
      </c>
      <c r="G6" s="491" t="s">
        <v>214</v>
      </c>
      <c r="H6" s="491" t="s">
        <v>221</v>
      </c>
      <c r="I6" s="1" t="s">
        <v>222</v>
      </c>
      <c r="J6" s="493" t="s">
        <v>224</v>
      </c>
    </row>
    <row r="7" spans="1:12" ht="15.75">
      <c r="A7" s="51">
        <v>1</v>
      </c>
      <c r="B7" s="2" t="s">
        <v>493</v>
      </c>
      <c r="C7" s="2" t="s">
        <v>494</v>
      </c>
      <c r="D7" s="2"/>
      <c r="E7" s="2"/>
      <c r="F7" s="2"/>
      <c r="G7" s="2"/>
      <c r="H7" s="2"/>
      <c r="I7" s="2"/>
      <c r="J7" s="51">
        <f>+'Appendix III'!J71</f>
        <v>1292588443.6991601</v>
      </c>
    </row>
    <row r="8" spans="1:12" ht="15.75">
      <c r="A8" s="51"/>
      <c r="B8" s="2"/>
      <c r="C8" s="2"/>
      <c r="D8" s="2"/>
      <c r="E8" s="2"/>
      <c r="F8" s="2"/>
      <c r="G8" s="2"/>
      <c r="H8" s="2"/>
      <c r="I8" s="2"/>
      <c r="J8" s="51"/>
      <c r="L8" s="4"/>
    </row>
    <row r="9" spans="1:12" ht="16.5" thickBot="1">
      <c r="A9" s="101">
        <f>+A7+1</f>
        <v>2</v>
      </c>
      <c r="B9" s="494" t="s">
        <v>495</v>
      </c>
      <c r="C9" s="169"/>
      <c r="D9" s="169"/>
      <c r="E9" s="169"/>
      <c r="F9" s="169"/>
      <c r="G9" s="169"/>
      <c r="H9" s="169"/>
      <c r="I9" s="495" t="s">
        <v>171</v>
      </c>
      <c r="J9" s="51"/>
    </row>
    <row r="10" spans="1:12" ht="15.75">
      <c r="A10" s="101"/>
      <c r="B10" s="496"/>
      <c r="C10" s="169"/>
      <c r="D10" s="169"/>
      <c r="E10" s="169"/>
      <c r="F10" s="169"/>
      <c r="G10" s="166" t="s">
        <v>180</v>
      </c>
      <c r="H10" s="169"/>
      <c r="I10" s="169"/>
      <c r="J10" s="51"/>
    </row>
    <row r="11" spans="1:12" ht="16.5" thickBot="1">
      <c r="A11" s="101"/>
      <c r="B11" s="2"/>
      <c r="C11" s="496"/>
      <c r="D11" s="497" t="s">
        <v>171</v>
      </c>
      <c r="E11" s="497" t="s">
        <v>179</v>
      </c>
      <c r="F11" s="169"/>
      <c r="G11" s="497" t="s">
        <v>39</v>
      </c>
      <c r="H11" s="169"/>
      <c r="I11" s="497" t="s">
        <v>181</v>
      </c>
      <c r="J11" s="51"/>
    </row>
    <row r="12" spans="1:12" ht="15.75">
      <c r="A12" s="101">
        <f>+A9+1</f>
        <v>3</v>
      </c>
      <c r="B12" s="494" t="s">
        <v>496</v>
      </c>
      <c r="C12" s="496" t="s">
        <v>497</v>
      </c>
      <c r="D12" s="498">
        <f>+'Appendix III'!E179</f>
        <v>535545359.95869541</v>
      </c>
      <c r="E12" s="157">
        <f>+'Appendix III'!F179</f>
        <v>0.4</v>
      </c>
      <c r="F12" s="499"/>
      <c r="G12" s="199">
        <f>+'Appendix III'!H179</f>
        <v>5.4699999999999999E-2</v>
      </c>
      <c r="H12" s="500"/>
      <c r="I12" s="66">
        <f>E12*G12</f>
        <v>2.188E-2</v>
      </c>
      <c r="J12" s="51"/>
    </row>
    <row r="13" spans="1:12" ht="15.75">
      <c r="A13" s="101">
        <f>+A12+1</f>
        <v>4</v>
      </c>
      <c r="B13" s="494" t="s">
        <v>498</v>
      </c>
      <c r="C13" s="496" t="s">
        <v>499</v>
      </c>
      <c r="D13" s="498">
        <f>+'Appendix III'!E180</f>
        <v>0</v>
      </c>
      <c r="E13" s="157">
        <f>+'Appendix III'!F180</f>
        <v>0</v>
      </c>
      <c r="F13" s="499"/>
      <c r="G13" s="189">
        <f>+'Appendix III'!H180</f>
        <v>0</v>
      </c>
      <c r="H13" s="500"/>
      <c r="I13" s="66">
        <f>E13*G13</f>
        <v>0</v>
      </c>
      <c r="J13" s="51"/>
    </row>
    <row r="14" spans="1:12" ht="16.5" thickBot="1">
      <c r="A14" s="101">
        <f>+A13+1</f>
        <v>5</v>
      </c>
      <c r="B14" s="494" t="s">
        <v>500</v>
      </c>
      <c r="C14" s="500"/>
      <c r="D14" s="501">
        <f>+'Appendix III'!E181</f>
        <v>803318039.938043</v>
      </c>
      <c r="E14" s="157">
        <f>+'Appendix III'!F181</f>
        <v>0.59999999999999987</v>
      </c>
      <c r="F14" s="499"/>
      <c r="G14" s="502">
        <f>+'Appendix III'!H181</f>
        <v>0.106</v>
      </c>
      <c r="H14" s="500"/>
      <c r="I14" s="503">
        <f>E14*G14</f>
        <v>6.359999999999999E-2</v>
      </c>
      <c r="J14" s="51"/>
    </row>
    <row r="15" spans="1:12" ht="15.75">
      <c r="A15" s="101">
        <f>+A14+1</f>
        <v>6</v>
      </c>
      <c r="B15" s="496" t="s">
        <v>501</v>
      </c>
      <c r="C15" s="500"/>
      <c r="D15" s="498">
        <f>SUM(D12:D14)</f>
        <v>1338863399.8967385</v>
      </c>
      <c r="E15" s="169" t="s">
        <v>55</v>
      </c>
      <c r="F15" s="169"/>
      <c r="G15" s="169"/>
      <c r="H15" s="169"/>
      <c r="I15" s="66">
        <f>SUM(I12:I14)</f>
        <v>8.5479999999999987E-2</v>
      </c>
      <c r="J15" s="51"/>
    </row>
    <row r="16" spans="1:12" ht="15.75">
      <c r="A16" s="101">
        <f t="shared" ref="A16:A38" si="0">+A15+1</f>
        <v>7</v>
      </c>
      <c r="B16" s="496" t="s">
        <v>502</v>
      </c>
      <c r="C16" s="500"/>
      <c r="D16" s="498"/>
      <c r="E16" s="169"/>
      <c r="F16" s="169"/>
      <c r="G16" s="169"/>
      <c r="H16" s="169"/>
      <c r="I16" s="499"/>
      <c r="J16" s="51">
        <f>+I15*J7</f>
        <v>110490460.16740419</v>
      </c>
    </row>
    <row r="17" spans="1:12" ht="15.75">
      <c r="A17" s="101"/>
      <c r="B17" s="2"/>
      <c r="C17" s="2"/>
      <c r="D17" s="2"/>
      <c r="E17" s="2"/>
      <c r="F17" s="2"/>
      <c r="G17" s="2"/>
      <c r="H17" s="2"/>
      <c r="I17" s="2"/>
      <c r="J17" s="51"/>
    </row>
    <row r="18" spans="1:12" ht="15.75">
      <c r="A18" s="101">
        <f>+A16+1</f>
        <v>8</v>
      </c>
      <c r="B18" s="496" t="s">
        <v>141</v>
      </c>
      <c r="C18" s="169"/>
      <c r="D18" s="169"/>
      <c r="E18" s="169"/>
      <c r="F18" s="500"/>
      <c r="G18" s="504"/>
      <c r="H18" s="169"/>
      <c r="I18" s="500"/>
      <c r="J18" s="51"/>
    </row>
    <row r="19" spans="1:12" ht="15.75">
      <c r="A19" s="101">
        <f t="shared" si="0"/>
        <v>9</v>
      </c>
      <c r="B19" s="128" t="s">
        <v>503</v>
      </c>
      <c r="C19" s="21"/>
      <c r="D19" s="129">
        <f>+'Appendix III'!E120</f>
        <v>0.20999999999999996</v>
      </c>
      <c r="E19" s="169"/>
      <c r="F19" s="500"/>
      <c r="G19" s="504"/>
      <c r="H19" s="169"/>
      <c r="I19" s="500"/>
      <c r="J19" s="51"/>
    </row>
    <row r="20" spans="1:12" ht="15.75">
      <c r="A20" s="101">
        <f t="shared" si="0"/>
        <v>10</v>
      </c>
      <c r="B20" s="9" t="s">
        <v>143</v>
      </c>
      <c r="C20" s="21"/>
      <c r="D20" s="129">
        <f>IF(I15&gt;0,(D19/(1-D19))*(1-I12/I15),0)</f>
        <v>0.19778110802438048</v>
      </c>
      <c r="E20" s="169"/>
      <c r="F20" s="500"/>
      <c r="G20" s="504"/>
      <c r="H20" s="169"/>
      <c r="I20" s="500"/>
      <c r="J20" s="51"/>
    </row>
    <row r="21" spans="1:12" ht="15.75">
      <c r="A21" s="101">
        <f t="shared" si="0"/>
        <v>11</v>
      </c>
      <c r="B21" s="9" t="str">
        <f>"       where WCLTD=(line "&amp;A12&amp;") and R= (line "&amp;A15&amp;")"</f>
        <v xml:space="preserve">       where WCLTD=(line 3) and R= (line 6)</v>
      </c>
      <c r="C21" s="21"/>
      <c r="D21" s="21"/>
      <c r="E21" s="169"/>
      <c r="F21" s="500"/>
      <c r="G21" s="504"/>
      <c r="H21" s="169"/>
      <c r="I21" s="500"/>
      <c r="J21" s="51"/>
    </row>
    <row r="22" spans="1:12" ht="15.75">
      <c r="A22" s="101">
        <f t="shared" si="0"/>
        <v>12</v>
      </c>
      <c r="B22" s="9" t="str">
        <f>"       and FIT, SIT &amp; p are as given in footnote "&amp;'Appendix III'!A217&amp;" on Appendix III."</f>
        <v xml:space="preserve">       and FIT, SIT &amp; p are as given in footnote F on Appendix III.</v>
      </c>
      <c r="C22" s="21"/>
      <c r="D22" s="21"/>
      <c r="E22" s="169"/>
      <c r="F22" s="500"/>
      <c r="G22" s="504"/>
      <c r="H22" s="169"/>
      <c r="I22" s="500"/>
      <c r="J22" s="51"/>
    </row>
    <row r="23" spans="1:12" ht="15.75">
      <c r="A23" s="101">
        <f t="shared" si="0"/>
        <v>13</v>
      </c>
      <c r="B23" s="128" t="str">
        <f>"      1 / (1 - T)  = (T from line "&amp;A19&amp;")"</f>
        <v xml:space="preserve">      1 / (1 - T)  = (T from line 9)</v>
      </c>
      <c r="C23" s="21"/>
      <c r="D23" s="129">
        <f>IF(D19&gt;0,1/(1-D19),0)</f>
        <v>1.2658227848101264</v>
      </c>
      <c r="E23" s="169"/>
      <c r="F23" s="500"/>
      <c r="G23" s="504"/>
      <c r="H23" s="169"/>
      <c r="I23" s="500"/>
      <c r="J23" s="51"/>
    </row>
    <row r="24" spans="1:12" ht="15.75">
      <c r="A24" s="101">
        <f t="shared" si="0"/>
        <v>14</v>
      </c>
      <c r="B24" s="9" t="s">
        <v>504</v>
      </c>
      <c r="C24" s="21"/>
      <c r="D24" s="45">
        <f>+'Appendix III'!E125</f>
        <v>0</v>
      </c>
      <c r="E24" s="169"/>
      <c r="F24" s="500"/>
      <c r="G24" s="504"/>
      <c r="H24" s="169"/>
      <c r="I24" s="500"/>
      <c r="J24" s="51"/>
    </row>
    <row r="25" spans="1:12" ht="15.75">
      <c r="A25" s="101">
        <f t="shared" si="0"/>
        <v>15</v>
      </c>
      <c r="B25" s="9"/>
      <c r="C25" s="21"/>
      <c r="D25" s="51"/>
      <c r="E25" s="169"/>
      <c r="F25" s="500"/>
      <c r="G25" s="82"/>
      <c r="H25" s="169"/>
      <c r="I25" s="500"/>
      <c r="J25" s="51"/>
    </row>
    <row r="26" spans="1:12" ht="15.75">
      <c r="A26" s="101">
        <f t="shared" si="0"/>
        <v>16</v>
      </c>
      <c r="B26" s="128" t="str">
        <f>"Income Tax Calculation = line "&amp;A20&amp;" * line "&amp;A16&amp;""</f>
        <v>Income Tax Calculation = line 10 * line 7</v>
      </c>
      <c r="C26" s="136"/>
      <c r="D26" s="45">
        <f>+J16*D20</f>
        <v>21852925.638032876</v>
      </c>
      <c r="E26" s="169"/>
      <c r="F26" s="505"/>
      <c r="G26" s="506"/>
      <c r="H26" s="505"/>
      <c r="I26" s="51">
        <f>+J16*D20</f>
        <v>21852925.638032876</v>
      </c>
      <c r="J26" s="51"/>
    </row>
    <row r="27" spans="1:12" ht="15.75">
      <c r="A27" s="101">
        <f t="shared" si="0"/>
        <v>17</v>
      </c>
      <c r="B27" s="68" t="str">
        <f>"ITC adjustment (line "&amp;A23&amp;" * line "&amp;A24&amp;") and line 17 allocated on NP allocator"</f>
        <v>ITC adjustment (line 13 * line 14) and line 17 allocated on NP allocator</v>
      </c>
      <c r="C27" s="143"/>
      <c r="D27" s="72">
        <f>+D23*D24</f>
        <v>0</v>
      </c>
      <c r="E27" s="505"/>
      <c r="F27" s="167" t="s">
        <v>92</v>
      </c>
      <c r="G27" s="157">
        <f>+'Appendix III'!H52</f>
        <v>1</v>
      </c>
      <c r="H27" s="505"/>
      <c r="I27" s="82">
        <f>G27*D27</f>
        <v>0</v>
      </c>
      <c r="J27" s="51"/>
    </row>
    <row r="28" spans="1:12" ht="15.75">
      <c r="A28" s="101">
        <f t="shared" si="0"/>
        <v>18</v>
      </c>
      <c r="B28" s="145" t="s">
        <v>158</v>
      </c>
      <c r="C28" s="9" t="str">
        <f>"(line "&amp;A26&amp;" plus line "&amp;A27&amp;") "</f>
        <v xml:space="preserve">(line 16 plus line 17) </v>
      </c>
      <c r="D28" s="507">
        <f>(D27+D26)</f>
        <v>21852925.638032876</v>
      </c>
      <c r="E28" s="505"/>
      <c r="F28" s="2"/>
      <c r="G28" s="2"/>
      <c r="H28" s="2"/>
      <c r="I28" s="2"/>
      <c r="J28" s="51">
        <f>(I27+I26)</f>
        <v>21852925.638032876</v>
      </c>
    </row>
    <row r="29" spans="1:12" ht="15.75">
      <c r="A29" s="101"/>
      <c r="B29" s="500"/>
      <c r="C29" s="508"/>
      <c r="D29" s="509"/>
      <c r="E29" s="505"/>
      <c r="F29" s="167"/>
      <c r="G29" s="157"/>
      <c r="H29" s="505"/>
      <c r="I29" s="509"/>
      <c r="J29" s="51"/>
    </row>
    <row r="30" spans="1:12" ht="15.75">
      <c r="A30" s="101"/>
      <c r="B30" s="2"/>
      <c r="C30" s="2"/>
      <c r="D30" s="2"/>
      <c r="E30" s="2"/>
      <c r="F30" s="2"/>
      <c r="G30" s="2"/>
      <c r="H30" s="2"/>
      <c r="I30" s="2"/>
      <c r="J30" s="51"/>
      <c r="K30" s="510"/>
      <c r="L30" s="510"/>
    </row>
    <row r="31" spans="1:12" ht="15.75">
      <c r="A31" s="101">
        <f>+A28+1</f>
        <v>19</v>
      </c>
      <c r="B31" s="500" t="s">
        <v>505</v>
      </c>
      <c r="C31" s="2"/>
      <c r="D31" s="2"/>
      <c r="E31" s="2" t="s">
        <v>506</v>
      </c>
      <c r="F31" s="2"/>
      <c r="G31" s="2"/>
      <c r="H31" s="2"/>
      <c r="I31" s="2"/>
      <c r="J31" s="51">
        <f>+J28+J16</f>
        <v>132343385.80543706</v>
      </c>
      <c r="K31" s="510"/>
      <c r="L31" s="510"/>
    </row>
    <row r="32" spans="1:12" ht="15.75">
      <c r="A32" s="172"/>
      <c r="B32" s="2"/>
      <c r="C32" s="2"/>
      <c r="D32" s="2"/>
      <c r="E32" s="2"/>
      <c r="F32" s="2"/>
      <c r="G32" s="2"/>
      <c r="H32" s="2"/>
      <c r="I32" s="2"/>
      <c r="J32" s="51"/>
      <c r="K32" s="510"/>
      <c r="L32" s="510"/>
    </row>
    <row r="33" spans="1:12" ht="15.75">
      <c r="A33" s="172">
        <f>+A31+1</f>
        <v>20</v>
      </c>
      <c r="B33" s="2" t="str">
        <f>"Return    (Appendix III line "&amp;'Appendix III'!A135&amp;" col 5)"</f>
        <v>Return    (Appendix III line 64 col 5)</v>
      </c>
      <c r="C33" s="2"/>
      <c r="D33" s="2"/>
      <c r="E33" s="2"/>
      <c r="F33" s="2"/>
      <c r="G33" s="2"/>
      <c r="H33" s="2"/>
      <c r="I33" s="2"/>
      <c r="J33" s="51">
        <f>+'Appendix III'!J135</f>
        <v>110490460.16740419</v>
      </c>
      <c r="K33" s="510"/>
      <c r="L33" s="510"/>
    </row>
    <row r="34" spans="1:12" ht="15.75">
      <c r="A34" s="172">
        <f t="shared" si="0"/>
        <v>21</v>
      </c>
      <c r="B34" s="2" t="str">
        <f>"Income Tax    (Appendix III line "&amp;'Appendix III'!A132&amp;" col 5)"</f>
        <v>Income Tax    (Appendix III line 62 col 5)</v>
      </c>
      <c r="C34" s="2"/>
      <c r="D34" s="2"/>
      <c r="E34" s="2"/>
      <c r="F34" s="2"/>
      <c r="G34" s="2"/>
      <c r="H34" s="2"/>
      <c r="I34" s="2"/>
      <c r="J34" s="51">
        <f>+'Appendix III'!J132</f>
        <v>21971129.587399963</v>
      </c>
      <c r="K34" s="510"/>
      <c r="L34" s="510"/>
    </row>
    <row r="35" spans="1:12" ht="15.75">
      <c r="A35" s="172">
        <f t="shared" si="0"/>
        <v>22</v>
      </c>
      <c r="B35" s="500" t="s">
        <v>507</v>
      </c>
      <c r="C35" s="2"/>
      <c r="D35" s="2"/>
      <c r="E35" s="2" t="s">
        <v>508</v>
      </c>
      <c r="F35" s="2"/>
      <c r="G35" s="2"/>
      <c r="H35" s="2"/>
      <c r="I35" s="2"/>
      <c r="J35" s="72">
        <f>+J33+J34</f>
        <v>132461589.75480415</v>
      </c>
      <c r="K35" s="510"/>
      <c r="L35" s="510"/>
    </row>
    <row r="36" spans="1:12" ht="15.75">
      <c r="A36" s="172">
        <f t="shared" si="0"/>
        <v>23</v>
      </c>
      <c r="B36" s="500" t="s">
        <v>509</v>
      </c>
      <c r="C36" s="2"/>
      <c r="D36" s="2"/>
      <c r="E36" s="2" t="s">
        <v>510</v>
      </c>
      <c r="F36" s="2"/>
      <c r="G36" s="2"/>
      <c r="H36" s="2"/>
      <c r="I36" s="2"/>
      <c r="J36" s="51">
        <f>+J31-J35</f>
        <v>-118203.94936709106</v>
      </c>
      <c r="K36" s="510"/>
      <c r="L36" s="510"/>
    </row>
    <row r="37" spans="1:12" ht="15.75">
      <c r="A37" s="172">
        <f t="shared" si="0"/>
        <v>24</v>
      </c>
      <c r="B37" s="2" t="s">
        <v>511</v>
      </c>
      <c r="C37" s="2"/>
      <c r="D37" s="2"/>
      <c r="E37" s="2" t="str">
        <f>"Appendix III, line "&amp;'Appendix III'!A191&amp;" Col. (a)"</f>
        <v>Appendix III, line 91 Col. (a)</v>
      </c>
      <c r="F37" s="2"/>
      <c r="H37" s="2"/>
      <c r="I37" s="2"/>
      <c r="J37" s="51">
        <f>+'Appendix III'!H191</f>
        <v>1286930578.7031679</v>
      </c>
      <c r="K37" s="510"/>
      <c r="L37" s="510"/>
    </row>
    <row r="38" spans="1:12" ht="15.75">
      <c r="A38" s="172">
        <f t="shared" si="0"/>
        <v>25</v>
      </c>
      <c r="B38" s="2" t="s">
        <v>512</v>
      </c>
      <c r="C38" s="2"/>
      <c r="D38" s="2"/>
      <c r="E38" s="2" t="s">
        <v>513</v>
      </c>
      <c r="F38" s="2"/>
      <c r="G38" s="2"/>
      <c r="H38" s="2"/>
      <c r="I38" s="2"/>
      <c r="J38" s="66">
        <f>IF(J37=0,0,J36/J37)</f>
        <v>-9.184951490250893E-5</v>
      </c>
      <c r="K38" s="510"/>
      <c r="L38" s="510"/>
    </row>
    <row r="39" spans="1:12" ht="15.75">
      <c r="A39" s="2"/>
      <c r="B39" s="2"/>
      <c r="C39" s="2"/>
      <c r="D39" s="2"/>
      <c r="E39" s="2"/>
      <c r="F39" s="2"/>
      <c r="G39" s="2"/>
      <c r="H39" s="2"/>
      <c r="I39" s="2"/>
      <c r="J39" s="51"/>
      <c r="K39" s="510"/>
      <c r="L39" s="510"/>
    </row>
    <row r="40" spans="1:12" ht="15.75">
      <c r="A40" s="511" t="s">
        <v>514</v>
      </c>
      <c r="B40" s="2"/>
      <c r="C40" s="2"/>
      <c r="D40" s="2"/>
      <c r="E40" s="2"/>
      <c r="F40" s="2"/>
      <c r="G40" s="2"/>
      <c r="H40" s="2"/>
      <c r="I40" s="2"/>
      <c r="J40" s="2"/>
      <c r="K40" s="510"/>
      <c r="L40" s="510"/>
    </row>
    <row r="41" spans="1:12" ht="15.75">
      <c r="A41" s="511" t="s">
        <v>515</v>
      </c>
      <c r="B41" s="2"/>
      <c r="C41" s="2"/>
      <c r="D41" s="2"/>
      <c r="E41" s="2"/>
      <c r="F41" s="2"/>
      <c r="G41" s="2"/>
      <c r="H41" s="2"/>
      <c r="I41" s="2"/>
      <c r="J41" s="2"/>
      <c r="K41" s="510"/>
      <c r="L41" s="510"/>
    </row>
    <row r="42" spans="1:12" ht="15.75">
      <c r="A42" s="511" t="s">
        <v>516</v>
      </c>
      <c r="B42" s="2"/>
      <c r="C42" s="2"/>
      <c r="D42" s="2"/>
      <c r="E42" s="2"/>
      <c r="F42" s="2"/>
      <c r="G42" s="2"/>
      <c r="H42" s="2"/>
      <c r="I42" s="2"/>
      <c r="J42" s="2"/>
      <c r="K42" s="510"/>
      <c r="L42" s="510"/>
    </row>
    <row r="43" spans="1:12" ht="15.75">
      <c r="A43" s="511"/>
      <c r="B43" s="2"/>
      <c r="C43" s="2"/>
      <c r="D43" s="2"/>
      <c r="E43" s="2"/>
      <c r="F43" s="2"/>
      <c r="G43" s="2"/>
      <c r="H43" s="2"/>
      <c r="I43" s="2"/>
      <c r="J43" s="2"/>
      <c r="K43" s="510"/>
      <c r="L43" s="510"/>
    </row>
    <row r="44" spans="1:12" ht="15.75">
      <c r="A44" s="2"/>
      <c r="B44" s="2" t="s">
        <v>517</v>
      </c>
      <c r="C44" s="2"/>
      <c r="D44" s="2"/>
      <c r="E44" s="2"/>
      <c r="F44" s="2"/>
      <c r="G44" s="2"/>
      <c r="H44" s="2"/>
      <c r="I44" s="2"/>
      <c r="J44" s="2"/>
    </row>
    <row r="45" spans="1:12" ht="15.75">
      <c r="A45" s="2"/>
      <c r="B45" s="512" t="s">
        <v>518</v>
      </c>
      <c r="C45" s="512" t="s">
        <v>519</v>
      </c>
      <c r="D45" s="2"/>
      <c r="E45" s="2"/>
      <c r="F45" s="2"/>
      <c r="G45" s="2"/>
      <c r="H45" s="2"/>
      <c r="I45" s="2"/>
      <c r="J45" s="2"/>
    </row>
    <row r="46" spans="1:12" ht="15.75">
      <c r="A46" s="2"/>
      <c r="B46" s="513"/>
      <c r="C46" s="513"/>
      <c r="D46" s="2"/>
      <c r="E46" s="2"/>
      <c r="F46" s="2"/>
      <c r="G46" s="2"/>
      <c r="H46" s="2"/>
      <c r="I46" s="2"/>
      <c r="J46" s="2"/>
    </row>
    <row r="47" spans="1:12" ht="15.75">
      <c r="A47" s="2"/>
      <c r="B47" s="513"/>
      <c r="C47" s="513"/>
      <c r="D47" s="2"/>
      <c r="E47" s="2"/>
      <c r="F47" s="2"/>
      <c r="G47" s="2"/>
      <c r="H47" s="2"/>
      <c r="I47" s="2"/>
      <c r="J47" s="2"/>
    </row>
    <row r="48" spans="1:12" ht="15.75">
      <c r="A48" s="2"/>
      <c r="B48" s="513"/>
      <c r="C48" s="513"/>
      <c r="D48" s="2"/>
      <c r="E48" s="2"/>
      <c r="F48" s="2"/>
      <c r="G48" s="2"/>
      <c r="H48" s="2"/>
      <c r="I48" s="2"/>
      <c r="J48" s="2"/>
    </row>
    <row r="49" spans="1:10" ht="15.75">
      <c r="A49" s="2"/>
      <c r="B49" s="2"/>
      <c r="C49" s="2"/>
      <c r="D49" s="2"/>
      <c r="E49" s="2"/>
      <c r="F49" s="2"/>
      <c r="G49" s="2"/>
      <c r="H49" s="2"/>
      <c r="I49" s="2"/>
      <c r="J49" s="2"/>
    </row>
    <row r="50" spans="1:10" ht="15.75">
      <c r="A50" s="2"/>
      <c r="B50" s="2"/>
      <c r="C50" s="2"/>
      <c r="D50" s="2"/>
      <c r="E50" s="2"/>
      <c r="F50" s="2"/>
      <c r="G50" s="2"/>
      <c r="H50" s="2"/>
      <c r="I50" s="2"/>
      <c r="J50" s="2"/>
    </row>
    <row r="51" spans="1:10" ht="15.75">
      <c r="A51" s="2"/>
      <c r="B51" s="2"/>
      <c r="C51" s="2"/>
      <c r="D51" s="2"/>
      <c r="E51" s="2"/>
      <c r="F51" s="2"/>
      <c r="G51" s="2"/>
      <c r="H51" s="2"/>
      <c r="I51" s="2"/>
      <c r="J51" s="2"/>
    </row>
    <row r="52" spans="1:10" ht="15.75">
      <c r="A52" s="2"/>
      <c r="B52" s="2"/>
      <c r="C52" s="2"/>
      <c r="D52" s="2"/>
      <c r="E52" s="2"/>
      <c r="F52" s="2"/>
      <c r="G52" s="2"/>
      <c r="H52" s="2"/>
      <c r="I52" s="2"/>
      <c r="J52" s="2"/>
    </row>
    <row r="53" spans="1:10" ht="15.75">
      <c r="A53" s="2"/>
      <c r="B53" s="2"/>
      <c r="C53" s="2"/>
      <c r="D53" s="2"/>
      <c r="E53" s="2"/>
      <c r="F53" s="2"/>
      <c r="G53" s="2"/>
      <c r="H53" s="2"/>
      <c r="I53" s="2"/>
      <c r="J53" s="2"/>
    </row>
    <row r="54" spans="1:10" ht="15.75">
      <c r="A54" s="2"/>
      <c r="B54" s="2"/>
      <c r="C54" s="2"/>
      <c r="D54" s="2"/>
      <c r="E54" s="2"/>
      <c r="F54" s="2"/>
      <c r="G54" s="2"/>
      <c r="H54" s="2"/>
      <c r="I54" s="2"/>
      <c r="J54" s="2"/>
    </row>
    <row r="55" spans="1:10" ht="15.75">
      <c r="A55" s="2"/>
      <c r="B55" s="2"/>
      <c r="C55" s="2"/>
      <c r="D55" s="2"/>
      <c r="E55" s="2"/>
      <c r="F55" s="2"/>
      <c r="G55" s="2"/>
      <c r="H55" s="2"/>
      <c r="I55" s="2"/>
      <c r="J55" s="2"/>
    </row>
  </sheetData>
  <mergeCells count="2">
    <mergeCell ref="A1:J1"/>
    <mergeCell ref="A2:J2"/>
  </mergeCells>
  <pageMargins left="0.7" right="0.7" top="0.75" bottom="0.75" header="0.3" footer="0.3"/>
  <pageSetup scale="65" orientation="landscape"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E1028-BF8A-44EA-BD05-F7C40076641F}">
  <sheetPr>
    <pageSetUpPr fitToPage="1"/>
  </sheetPr>
  <dimension ref="A1:AO31"/>
  <sheetViews>
    <sheetView view="pageBreakPreview" zoomScale="90" zoomScaleNormal="100" zoomScaleSheetLayoutView="90" workbookViewId="0">
      <selection sqref="A1:O1"/>
    </sheetView>
  </sheetViews>
  <sheetFormatPr defaultColWidth="8.109375" defaultRowHeight="15.75"/>
  <cols>
    <col min="1" max="1" width="4.44140625" style="8" bestFit="1" customWidth="1"/>
    <col min="2" max="2" width="9.44140625" style="2" customWidth="1"/>
    <col min="3" max="3" width="6.77734375" style="2" bestFit="1" customWidth="1"/>
    <col min="4" max="14" width="6.109375" style="2" customWidth="1"/>
    <col min="15" max="15" width="5.44140625" style="2" bestFit="1" customWidth="1"/>
    <col min="16" max="27" width="6.109375" style="2" customWidth="1"/>
    <col min="28" max="28" width="10.77734375" style="2" bestFit="1" customWidth="1"/>
    <col min="29" max="29" width="1.109375" style="2" customWidth="1"/>
    <col min="30" max="30" width="16" style="2" customWidth="1"/>
    <col min="31" max="31" width="2.44140625" style="8" customWidth="1"/>
    <col min="32" max="32" width="14.77734375" style="2" customWidth="1"/>
    <col min="33" max="33" width="2.77734375" style="8" customWidth="1"/>
    <col min="34" max="34" width="15.44140625" style="2" customWidth="1"/>
    <col min="35" max="16384" width="8.109375" style="2"/>
  </cols>
  <sheetData>
    <row r="1" spans="1:41">
      <c r="A1" s="1060" t="s">
        <v>520</v>
      </c>
      <c r="B1" s="1060"/>
      <c r="C1" s="1060"/>
      <c r="D1" s="1060"/>
      <c r="E1" s="1060"/>
      <c r="F1" s="1060"/>
      <c r="G1" s="1060"/>
      <c r="H1" s="1060"/>
      <c r="I1" s="1060"/>
      <c r="J1" s="1060"/>
      <c r="K1" s="1060"/>
      <c r="L1" s="1060"/>
      <c r="M1" s="1060"/>
      <c r="N1" s="1060"/>
      <c r="O1" s="1060"/>
      <c r="Q1" s="1060" t="str">
        <f>+A1</f>
        <v>Attachment 3a - Project (13 Monthly Balances)</v>
      </c>
      <c r="R1" s="1060"/>
      <c r="S1" s="1060"/>
      <c r="T1" s="1060"/>
      <c r="U1" s="1060"/>
      <c r="V1" s="1060"/>
      <c r="W1" s="1060"/>
      <c r="X1" s="1060"/>
      <c r="Y1" s="1060"/>
      <c r="Z1" s="1060"/>
      <c r="AA1" s="1060"/>
      <c r="AB1" s="1060"/>
      <c r="AC1" s="1060"/>
      <c r="AD1" s="1060"/>
      <c r="AE1" s="1060"/>
      <c r="AF1" s="1060"/>
      <c r="AG1" s="1060"/>
      <c r="AH1" s="1060"/>
      <c r="AI1" s="514"/>
      <c r="AJ1" s="514"/>
      <c r="AK1" s="514"/>
      <c r="AL1" s="514"/>
      <c r="AM1" s="514"/>
      <c r="AN1" s="514"/>
      <c r="AO1" s="514"/>
    </row>
    <row r="2" spans="1:41">
      <c r="A2" s="1061" t="str">
        <f>+'Appendix III'!E7</f>
        <v>GridLiance West LLC (GLW)</v>
      </c>
      <c r="B2" s="1061"/>
      <c r="C2" s="1061"/>
      <c r="D2" s="1061"/>
      <c r="E2" s="1061"/>
      <c r="F2" s="1061"/>
      <c r="G2" s="1061"/>
      <c r="H2" s="1061"/>
      <c r="I2" s="1061"/>
      <c r="J2" s="1061"/>
      <c r="K2" s="1061"/>
      <c r="L2" s="1061"/>
      <c r="M2" s="1061"/>
      <c r="N2" s="1061"/>
      <c r="O2" s="1061"/>
      <c r="Q2" s="1061" t="str">
        <f>+A2</f>
        <v>GridLiance West LLC (GLW)</v>
      </c>
      <c r="R2" s="1061"/>
      <c r="S2" s="1061"/>
      <c r="T2" s="1061"/>
      <c r="U2" s="1061"/>
      <c r="V2" s="1061"/>
      <c r="W2" s="1061"/>
      <c r="X2" s="1061"/>
      <c r="Y2" s="1061"/>
      <c r="Z2" s="1061"/>
      <c r="AA2" s="1061"/>
      <c r="AB2" s="1061"/>
      <c r="AC2" s="1061"/>
      <c r="AD2" s="1061"/>
      <c r="AE2" s="1061"/>
      <c r="AF2" s="1061"/>
      <c r="AG2" s="1061"/>
      <c r="AH2" s="1061"/>
      <c r="AI2" s="515"/>
      <c r="AJ2" s="515"/>
      <c r="AK2" s="515"/>
      <c r="AL2" s="515"/>
      <c r="AM2" s="515"/>
      <c r="AN2" s="515"/>
      <c r="AO2" s="515"/>
    </row>
    <row r="4" spans="1:41">
      <c r="C4" s="252" t="s">
        <v>521</v>
      </c>
      <c r="D4" s="252"/>
      <c r="E4" s="252"/>
      <c r="F4" s="252"/>
      <c r="G4" s="252"/>
      <c r="H4" s="252"/>
      <c r="I4" s="252"/>
      <c r="J4" s="252"/>
      <c r="K4" s="252"/>
      <c r="L4" s="252"/>
      <c r="M4" s="252"/>
      <c r="N4" s="252"/>
      <c r="O4" s="252"/>
      <c r="P4" s="252" t="s">
        <v>522</v>
      </c>
      <c r="Q4" s="252"/>
      <c r="R4" s="252"/>
      <c r="S4" s="252"/>
      <c r="T4" s="252"/>
      <c r="U4" s="252"/>
      <c r="V4" s="252"/>
      <c r="W4" s="252"/>
      <c r="X4" s="252"/>
      <c r="Y4" s="252"/>
      <c r="Z4" s="252"/>
      <c r="AA4" s="252"/>
      <c r="AB4" s="252"/>
      <c r="AC4" s="252"/>
      <c r="AD4" s="252" t="s">
        <v>83</v>
      </c>
      <c r="AE4" s="252"/>
      <c r="AF4" s="252"/>
      <c r="AG4" s="252"/>
      <c r="AH4" s="516"/>
      <c r="AI4" s="252"/>
      <c r="AJ4" s="252"/>
      <c r="AK4" s="252"/>
      <c r="AL4" s="252"/>
    </row>
    <row r="5" spans="1:41" s="8" customFormat="1">
      <c r="C5" s="8" t="s">
        <v>188</v>
      </c>
      <c r="D5" s="8" t="s">
        <v>523</v>
      </c>
      <c r="E5" s="8" t="s">
        <v>524</v>
      </c>
      <c r="F5" s="8" t="s">
        <v>525</v>
      </c>
      <c r="G5" s="8" t="s">
        <v>526</v>
      </c>
      <c r="H5" s="8" t="s">
        <v>527</v>
      </c>
      <c r="I5" s="8" t="s">
        <v>528</v>
      </c>
      <c r="J5" s="8" t="s">
        <v>529</v>
      </c>
      <c r="K5" s="8" t="s">
        <v>530</v>
      </c>
      <c r="L5" s="8" t="s">
        <v>531</v>
      </c>
      <c r="M5" s="8" t="s">
        <v>532</v>
      </c>
      <c r="N5" s="8" t="s">
        <v>533</v>
      </c>
      <c r="O5" s="8" t="s">
        <v>534</v>
      </c>
      <c r="P5" s="8" t="s">
        <v>535</v>
      </c>
      <c r="Q5" s="8" t="s">
        <v>536</v>
      </c>
      <c r="R5" s="8" t="s">
        <v>537</v>
      </c>
      <c r="S5" s="8" t="s">
        <v>538</v>
      </c>
      <c r="T5" s="8" t="s">
        <v>539</v>
      </c>
      <c r="U5" s="8" t="s">
        <v>540</v>
      </c>
      <c r="V5" s="8" t="s">
        <v>541</v>
      </c>
      <c r="W5" s="8" t="s">
        <v>542</v>
      </c>
      <c r="X5" s="8" t="s">
        <v>543</v>
      </c>
      <c r="Y5" s="8" t="s">
        <v>544</v>
      </c>
      <c r="Z5" s="8" t="s">
        <v>545</v>
      </c>
      <c r="AA5" s="8" t="s">
        <v>546</v>
      </c>
      <c r="AB5" s="8" t="s">
        <v>547</v>
      </c>
      <c r="AD5" s="8" t="s">
        <v>548</v>
      </c>
      <c r="AF5" s="8" t="s">
        <v>549</v>
      </c>
      <c r="AH5" s="8" t="s">
        <v>550</v>
      </c>
    </row>
    <row r="6" spans="1:41">
      <c r="A6" s="517" t="s">
        <v>50</v>
      </c>
      <c r="B6" s="518" t="s">
        <v>551</v>
      </c>
      <c r="C6" s="8" t="s">
        <v>552</v>
      </c>
      <c r="D6" s="8" t="s">
        <v>553</v>
      </c>
      <c r="E6" s="8" t="s">
        <v>554</v>
      </c>
      <c r="F6" s="8" t="s">
        <v>555</v>
      </c>
      <c r="G6" s="8" t="s">
        <v>556</v>
      </c>
      <c r="H6" s="8" t="s">
        <v>315</v>
      </c>
      <c r="I6" s="8" t="s">
        <v>557</v>
      </c>
      <c r="J6" s="8" t="s">
        <v>558</v>
      </c>
      <c r="K6" s="8" t="s">
        <v>559</v>
      </c>
      <c r="L6" s="8" t="s">
        <v>560</v>
      </c>
      <c r="M6" s="8" t="s">
        <v>561</v>
      </c>
      <c r="N6" s="8" t="s">
        <v>562</v>
      </c>
      <c r="O6" s="8" t="s">
        <v>552</v>
      </c>
      <c r="P6" s="8" t="s">
        <v>552</v>
      </c>
      <c r="Q6" s="8" t="s">
        <v>553</v>
      </c>
      <c r="R6" s="8" t="s">
        <v>554</v>
      </c>
      <c r="S6" s="8" t="s">
        <v>555</v>
      </c>
      <c r="T6" s="8" t="s">
        <v>556</v>
      </c>
      <c r="U6" s="8" t="s">
        <v>315</v>
      </c>
      <c r="V6" s="8" t="s">
        <v>557</v>
      </c>
      <c r="W6" s="8" t="s">
        <v>558</v>
      </c>
      <c r="X6" s="8" t="s">
        <v>559</v>
      </c>
      <c r="Y6" s="8" t="s">
        <v>560</v>
      </c>
      <c r="Z6" s="8" t="s">
        <v>561</v>
      </c>
      <c r="AA6" s="8" t="s">
        <v>562</v>
      </c>
      <c r="AB6" s="8" t="s">
        <v>552</v>
      </c>
      <c r="AC6" s="8"/>
      <c r="AD6" s="8" t="s">
        <v>563</v>
      </c>
      <c r="AE6" s="519"/>
      <c r="AF6" s="8" t="s">
        <v>564</v>
      </c>
      <c r="AH6" s="8" t="s">
        <v>565</v>
      </c>
    </row>
    <row r="7" spans="1:41">
      <c r="A7" s="517" t="s">
        <v>52</v>
      </c>
      <c r="C7" s="520"/>
      <c r="D7" s="520"/>
      <c r="E7" s="520"/>
      <c r="F7" s="520"/>
      <c r="G7" s="520"/>
      <c r="H7" s="520"/>
      <c r="I7" s="520"/>
      <c r="J7" s="520"/>
      <c r="K7" s="520"/>
      <c r="L7" s="520"/>
      <c r="M7" s="520"/>
      <c r="N7" s="520"/>
      <c r="O7" s="520"/>
      <c r="P7" s="521"/>
      <c r="Q7" s="520"/>
      <c r="R7" s="520"/>
      <c r="S7" s="520"/>
      <c r="T7" s="520"/>
      <c r="U7" s="520"/>
      <c r="V7" s="520"/>
      <c r="W7" s="520"/>
      <c r="X7" s="520"/>
      <c r="Y7" s="520"/>
      <c r="Z7" s="520"/>
      <c r="AA7" s="520"/>
      <c r="AB7" s="521"/>
      <c r="AC7" s="8"/>
      <c r="AD7" s="8" t="s">
        <v>566</v>
      </c>
      <c r="AE7" s="519" t="s">
        <v>567</v>
      </c>
      <c r="AF7" s="8" t="s">
        <v>568</v>
      </c>
      <c r="AG7" s="519" t="s">
        <v>178</v>
      </c>
      <c r="AH7" s="8" t="s">
        <v>569</v>
      </c>
    </row>
    <row r="8" spans="1:41">
      <c r="A8" s="514">
        <v>1</v>
      </c>
      <c r="B8" s="522">
        <v>0</v>
      </c>
      <c r="C8" s="523">
        <v>0</v>
      </c>
      <c r="D8" s="523">
        <v>0</v>
      </c>
      <c r="E8" s="523">
        <v>0</v>
      </c>
      <c r="F8" s="523">
        <v>0</v>
      </c>
      <c r="G8" s="523">
        <v>0</v>
      </c>
      <c r="H8" s="523">
        <v>0</v>
      </c>
      <c r="I8" s="523">
        <v>0</v>
      </c>
      <c r="J8" s="523">
        <v>0</v>
      </c>
      <c r="K8" s="523">
        <v>0</v>
      </c>
      <c r="L8" s="522">
        <v>0</v>
      </c>
      <c r="M8" s="523">
        <v>0</v>
      </c>
      <c r="N8" s="523">
        <v>0</v>
      </c>
      <c r="O8" s="524">
        <v>0</v>
      </c>
      <c r="P8" s="523">
        <v>0</v>
      </c>
      <c r="Q8" s="523">
        <v>0</v>
      </c>
      <c r="R8" s="523">
        <v>0</v>
      </c>
      <c r="S8" s="523">
        <v>0</v>
      </c>
      <c r="T8" s="523">
        <v>0</v>
      </c>
      <c r="U8" s="523">
        <v>0</v>
      </c>
      <c r="V8" s="523">
        <v>0</v>
      </c>
      <c r="W8" s="523">
        <v>0</v>
      </c>
      <c r="X8" s="523">
        <v>0</v>
      </c>
      <c r="Y8" s="523">
        <v>0</v>
      </c>
      <c r="Z8" s="523">
        <v>0</v>
      </c>
      <c r="AA8" s="523">
        <v>0</v>
      </c>
      <c r="AB8" s="524">
        <v>0</v>
      </c>
      <c r="AC8" s="51"/>
      <c r="AD8" s="51">
        <f>IFERROR(AVERAGE(C8:O8),"")</f>
        <v>0</v>
      </c>
      <c r="AE8" s="97"/>
      <c r="AF8" s="51">
        <f>IFERROR(AVERAGE(P8:AB8),"")</f>
        <v>0</v>
      </c>
      <c r="AG8" s="97"/>
      <c r="AH8" s="51">
        <f>IFERROR(AD8-AF8,"")</f>
        <v>0</v>
      </c>
    </row>
    <row r="9" spans="1:41">
      <c r="A9" s="514">
        <v>2</v>
      </c>
      <c r="B9" s="521"/>
      <c r="C9" s="523"/>
      <c r="D9" s="523"/>
      <c r="E9" s="523"/>
      <c r="F9" s="523"/>
      <c r="G9" s="523"/>
      <c r="H9" s="523"/>
      <c r="I9" s="523"/>
      <c r="J9" s="523"/>
      <c r="K9" s="523"/>
      <c r="L9" s="523"/>
      <c r="M9" s="523"/>
      <c r="N9" s="523"/>
      <c r="O9" s="523"/>
      <c r="P9" s="523"/>
      <c r="Q9" s="523"/>
      <c r="R9" s="523"/>
      <c r="S9" s="523"/>
      <c r="T9" s="523"/>
      <c r="U9" s="523"/>
      <c r="V9" s="523"/>
      <c r="W9" s="523"/>
      <c r="X9" s="523"/>
      <c r="Y9" s="523"/>
      <c r="Z9" s="523"/>
      <c r="AA9" s="523"/>
      <c r="AB9" s="523"/>
      <c r="AC9" s="51"/>
      <c r="AD9" s="51" t="str">
        <f t="shared" ref="AD9:AD27" si="0">IFERROR(AVERAGE(C9:O9),"")</f>
        <v/>
      </c>
      <c r="AE9" s="97"/>
      <c r="AF9" s="51" t="str">
        <f t="shared" ref="AF9:AF27" si="1">IFERROR(AVERAGE(P9:AB9),"")</f>
        <v/>
      </c>
      <c r="AG9" s="97"/>
      <c r="AH9" s="51" t="str">
        <f t="shared" ref="AH9:AH27" si="2">IFERROR(AD9-AF9,"")</f>
        <v/>
      </c>
    </row>
    <row r="10" spans="1:41">
      <c r="A10" s="514">
        <v>3</v>
      </c>
      <c r="B10" s="521"/>
      <c r="C10" s="523"/>
      <c r="D10" s="523"/>
      <c r="E10" s="523"/>
      <c r="F10" s="523"/>
      <c r="G10" s="523"/>
      <c r="H10" s="523"/>
      <c r="I10" s="523"/>
      <c r="J10" s="523"/>
      <c r="K10" s="523"/>
      <c r="L10" s="523"/>
      <c r="M10" s="523"/>
      <c r="N10" s="523"/>
      <c r="O10" s="523"/>
      <c r="P10" s="523"/>
      <c r="Q10" s="523"/>
      <c r="R10" s="523"/>
      <c r="S10" s="523"/>
      <c r="T10" s="523"/>
      <c r="U10" s="523"/>
      <c r="V10" s="523"/>
      <c r="W10" s="523"/>
      <c r="X10" s="523"/>
      <c r="Y10" s="523"/>
      <c r="Z10" s="523"/>
      <c r="AA10" s="523"/>
      <c r="AB10" s="523"/>
      <c r="AC10" s="51"/>
      <c r="AD10" s="51" t="str">
        <f t="shared" si="0"/>
        <v/>
      </c>
      <c r="AE10" s="97"/>
      <c r="AF10" s="51" t="str">
        <f t="shared" si="1"/>
        <v/>
      </c>
      <c r="AG10" s="97"/>
      <c r="AH10" s="51" t="str">
        <f t="shared" si="2"/>
        <v/>
      </c>
    </row>
    <row r="11" spans="1:41">
      <c r="A11" s="514">
        <v>4</v>
      </c>
      <c r="B11" s="521"/>
      <c r="C11" s="523"/>
      <c r="D11" s="523"/>
      <c r="E11" s="523"/>
      <c r="F11" s="523"/>
      <c r="G11" s="523"/>
      <c r="H11" s="523"/>
      <c r="I11" s="523"/>
      <c r="J11" s="523"/>
      <c r="K11" s="523"/>
      <c r="L11" s="523"/>
      <c r="M11" s="523"/>
      <c r="N11" s="523"/>
      <c r="O11" s="523"/>
      <c r="P11" s="523"/>
      <c r="Q11" s="523"/>
      <c r="R11" s="523"/>
      <c r="S11" s="523"/>
      <c r="T11" s="523"/>
      <c r="U11" s="523"/>
      <c r="V11" s="523"/>
      <c r="W11" s="523"/>
      <c r="X11" s="523"/>
      <c r="Y11" s="523"/>
      <c r="Z11" s="523"/>
      <c r="AA11" s="523"/>
      <c r="AB11" s="523"/>
      <c r="AC11" s="51"/>
      <c r="AD11" s="51" t="str">
        <f t="shared" si="0"/>
        <v/>
      </c>
      <c r="AE11" s="97"/>
      <c r="AF11" s="51" t="str">
        <f t="shared" si="1"/>
        <v/>
      </c>
      <c r="AG11" s="97"/>
      <c r="AH11" s="51" t="str">
        <f t="shared" si="2"/>
        <v/>
      </c>
    </row>
    <row r="12" spans="1:41">
      <c r="A12" s="514">
        <v>5</v>
      </c>
      <c r="B12" s="521"/>
      <c r="C12" s="523"/>
      <c r="D12" s="523"/>
      <c r="E12" s="523"/>
      <c r="F12" s="523"/>
      <c r="G12" s="523"/>
      <c r="H12" s="523"/>
      <c r="I12" s="523"/>
      <c r="J12" s="523"/>
      <c r="K12" s="523"/>
      <c r="L12" s="523"/>
      <c r="M12" s="523"/>
      <c r="N12" s="523"/>
      <c r="O12" s="523"/>
      <c r="P12" s="523"/>
      <c r="Q12" s="523"/>
      <c r="R12" s="523"/>
      <c r="S12" s="523"/>
      <c r="T12" s="523"/>
      <c r="U12" s="523"/>
      <c r="V12" s="523"/>
      <c r="W12" s="523"/>
      <c r="X12" s="523"/>
      <c r="Y12" s="523"/>
      <c r="Z12" s="523"/>
      <c r="AA12" s="523"/>
      <c r="AB12" s="523"/>
      <c r="AC12" s="51"/>
      <c r="AD12" s="51" t="str">
        <f t="shared" si="0"/>
        <v/>
      </c>
      <c r="AE12" s="97"/>
      <c r="AF12" s="51" t="str">
        <f t="shared" si="1"/>
        <v/>
      </c>
      <c r="AG12" s="97"/>
      <c r="AH12" s="51" t="str">
        <f t="shared" si="2"/>
        <v/>
      </c>
    </row>
    <row r="13" spans="1:41">
      <c r="A13" s="514">
        <v>6</v>
      </c>
      <c r="B13" s="521"/>
      <c r="C13" s="523"/>
      <c r="D13" s="523"/>
      <c r="E13" s="523"/>
      <c r="F13" s="523"/>
      <c r="G13" s="523"/>
      <c r="H13" s="523"/>
      <c r="I13" s="523"/>
      <c r="J13" s="523"/>
      <c r="K13" s="523"/>
      <c r="L13" s="523"/>
      <c r="M13" s="523"/>
      <c r="N13" s="523"/>
      <c r="O13" s="523"/>
      <c r="P13" s="523"/>
      <c r="Q13" s="523"/>
      <c r="R13" s="523"/>
      <c r="S13" s="523"/>
      <c r="T13" s="523"/>
      <c r="U13" s="523"/>
      <c r="V13" s="523"/>
      <c r="W13" s="523"/>
      <c r="X13" s="523"/>
      <c r="Y13" s="523"/>
      <c r="Z13" s="523"/>
      <c r="AA13" s="523"/>
      <c r="AB13" s="523"/>
      <c r="AC13" s="51"/>
      <c r="AD13" s="51" t="str">
        <f t="shared" si="0"/>
        <v/>
      </c>
      <c r="AE13" s="97"/>
      <c r="AF13" s="51" t="str">
        <f t="shared" si="1"/>
        <v/>
      </c>
      <c r="AG13" s="97"/>
      <c r="AH13" s="51" t="str">
        <f t="shared" si="2"/>
        <v/>
      </c>
    </row>
    <row r="14" spans="1:41">
      <c r="A14" s="514">
        <v>7</v>
      </c>
      <c r="B14" s="521"/>
      <c r="C14" s="523"/>
      <c r="D14" s="523"/>
      <c r="E14" s="523"/>
      <c r="F14" s="523"/>
      <c r="G14" s="523"/>
      <c r="H14" s="523"/>
      <c r="I14" s="523"/>
      <c r="J14" s="523"/>
      <c r="K14" s="523"/>
      <c r="L14" s="523"/>
      <c r="M14" s="523"/>
      <c r="N14" s="523"/>
      <c r="O14" s="523"/>
      <c r="P14" s="523"/>
      <c r="Q14" s="523"/>
      <c r="R14" s="523"/>
      <c r="S14" s="523"/>
      <c r="T14" s="523"/>
      <c r="U14" s="523"/>
      <c r="V14" s="523"/>
      <c r="W14" s="523"/>
      <c r="X14" s="523"/>
      <c r="Y14" s="523"/>
      <c r="Z14" s="523"/>
      <c r="AA14" s="523"/>
      <c r="AB14" s="523"/>
      <c r="AC14" s="51"/>
      <c r="AD14" s="51" t="str">
        <f t="shared" si="0"/>
        <v/>
      </c>
      <c r="AE14" s="97"/>
      <c r="AF14" s="51" t="str">
        <f t="shared" si="1"/>
        <v/>
      </c>
      <c r="AG14" s="97"/>
      <c r="AH14" s="51" t="str">
        <f t="shared" si="2"/>
        <v/>
      </c>
    </row>
    <row r="15" spans="1:41">
      <c r="A15" s="514">
        <v>8</v>
      </c>
      <c r="B15" s="521"/>
      <c r="C15" s="523"/>
      <c r="D15" s="523"/>
      <c r="E15" s="523"/>
      <c r="F15" s="523"/>
      <c r="G15" s="523"/>
      <c r="H15" s="523"/>
      <c r="I15" s="523"/>
      <c r="J15" s="523"/>
      <c r="K15" s="523"/>
      <c r="L15" s="523"/>
      <c r="M15" s="523"/>
      <c r="N15" s="523"/>
      <c r="O15" s="523"/>
      <c r="P15" s="523"/>
      <c r="Q15" s="523"/>
      <c r="R15" s="523"/>
      <c r="S15" s="523"/>
      <c r="T15" s="523"/>
      <c r="U15" s="523"/>
      <c r="V15" s="523"/>
      <c r="W15" s="523"/>
      <c r="X15" s="523"/>
      <c r="Y15" s="523"/>
      <c r="Z15" s="523"/>
      <c r="AA15" s="523"/>
      <c r="AB15" s="523"/>
      <c r="AC15" s="51"/>
      <c r="AD15" s="51" t="str">
        <f t="shared" si="0"/>
        <v/>
      </c>
      <c r="AE15" s="97"/>
      <c r="AF15" s="51" t="str">
        <f t="shared" si="1"/>
        <v/>
      </c>
      <c r="AG15" s="97"/>
      <c r="AH15" s="51" t="str">
        <f t="shared" si="2"/>
        <v/>
      </c>
    </row>
    <row r="16" spans="1:41">
      <c r="A16" s="514">
        <v>9</v>
      </c>
      <c r="B16" s="521"/>
      <c r="C16" s="523"/>
      <c r="D16" s="523"/>
      <c r="E16" s="523"/>
      <c r="F16" s="523"/>
      <c r="G16" s="523"/>
      <c r="H16" s="523"/>
      <c r="I16" s="523"/>
      <c r="J16" s="523"/>
      <c r="K16" s="523"/>
      <c r="L16" s="523"/>
      <c r="M16" s="523"/>
      <c r="N16" s="523"/>
      <c r="O16" s="523"/>
      <c r="P16" s="523"/>
      <c r="Q16" s="523"/>
      <c r="R16" s="523"/>
      <c r="S16" s="523"/>
      <c r="T16" s="523"/>
      <c r="U16" s="523"/>
      <c r="V16" s="523"/>
      <c r="W16" s="523"/>
      <c r="X16" s="523"/>
      <c r="Y16" s="523"/>
      <c r="Z16" s="523"/>
      <c r="AA16" s="523"/>
      <c r="AB16" s="523"/>
      <c r="AC16" s="51"/>
      <c r="AD16" s="51" t="str">
        <f t="shared" si="0"/>
        <v/>
      </c>
      <c r="AE16" s="97"/>
      <c r="AF16" s="51" t="str">
        <f t="shared" si="1"/>
        <v/>
      </c>
      <c r="AG16" s="97"/>
      <c r="AH16" s="51" t="str">
        <f t="shared" si="2"/>
        <v/>
      </c>
    </row>
    <row r="17" spans="1:34">
      <c r="A17" s="514">
        <v>10</v>
      </c>
      <c r="B17" s="521"/>
      <c r="C17" s="523"/>
      <c r="D17" s="523"/>
      <c r="E17" s="523"/>
      <c r="F17" s="523"/>
      <c r="G17" s="523"/>
      <c r="H17" s="523"/>
      <c r="I17" s="523"/>
      <c r="J17" s="523"/>
      <c r="K17" s="523"/>
      <c r="L17" s="523"/>
      <c r="M17" s="523"/>
      <c r="N17" s="523"/>
      <c r="O17" s="523"/>
      <c r="P17" s="523"/>
      <c r="Q17" s="523"/>
      <c r="R17" s="523"/>
      <c r="S17" s="523"/>
      <c r="T17" s="523"/>
      <c r="U17" s="523"/>
      <c r="V17" s="523"/>
      <c r="W17" s="523"/>
      <c r="X17" s="523"/>
      <c r="Y17" s="523"/>
      <c r="Z17" s="523"/>
      <c r="AA17" s="523"/>
      <c r="AB17" s="523"/>
      <c r="AC17" s="51"/>
      <c r="AD17" s="51" t="str">
        <f t="shared" si="0"/>
        <v/>
      </c>
      <c r="AE17" s="97"/>
      <c r="AF17" s="51" t="str">
        <f t="shared" si="1"/>
        <v/>
      </c>
      <c r="AG17" s="97"/>
      <c r="AH17" s="51" t="str">
        <f t="shared" si="2"/>
        <v/>
      </c>
    </row>
    <row r="18" spans="1:34">
      <c r="A18" s="514">
        <v>11</v>
      </c>
      <c r="B18" s="521"/>
      <c r="C18" s="523"/>
      <c r="D18" s="523"/>
      <c r="E18" s="523"/>
      <c r="F18" s="523"/>
      <c r="G18" s="523"/>
      <c r="H18" s="523"/>
      <c r="I18" s="523"/>
      <c r="J18" s="523"/>
      <c r="K18" s="523"/>
      <c r="L18" s="523"/>
      <c r="M18" s="523"/>
      <c r="N18" s="523"/>
      <c r="O18" s="523"/>
      <c r="P18" s="523"/>
      <c r="Q18" s="523"/>
      <c r="R18" s="523"/>
      <c r="S18" s="523"/>
      <c r="T18" s="523"/>
      <c r="U18" s="523"/>
      <c r="V18" s="523"/>
      <c r="W18" s="523"/>
      <c r="X18" s="523"/>
      <c r="Y18" s="523"/>
      <c r="Z18" s="523"/>
      <c r="AA18" s="523"/>
      <c r="AB18" s="523"/>
      <c r="AC18" s="51"/>
      <c r="AD18" s="51" t="str">
        <f t="shared" si="0"/>
        <v/>
      </c>
      <c r="AE18" s="97"/>
      <c r="AF18" s="51" t="str">
        <f t="shared" si="1"/>
        <v/>
      </c>
      <c r="AG18" s="97"/>
      <c r="AH18" s="51" t="str">
        <f t="shared" si="2"/>
        <v/>
      </c>
    </row>
    <row r="19" spans="1:34">
      <c r="A19" s="514">
        <v>12</v>
      </c>
      <c r="B19" s="521"/>
      <c r="C19" s="523"/>
      <c r="D19" s="523"/>
      <c r="E19" s="523"/>
      <c r="F19" s="523"/>
      <c r="G19" s="523"/>
      <c r="H19" s="523"/>
      <c r="I19" s="523"/>
      <c r="J19" s="523"/>
      <c r="K19" s="523"/>
      <c r="L19" s="523"/>
      <c r="M19" s="523"/>
      <c r="N19" s="523"/>
      <c r="O19" s="523"/>
      <c r="P19" s="523"/>
      <c r="Q19" s="523"/>
      <c r="R19" s="523"/>
      <c r="S19" s="523"/>
      <c r="T19" s="523"/>
      <c r="U19" s="523"/>
      <c r="V19" s="523"/>
      <c r="W19" s="523"/>
      <c r="X19" s="523"/>
      <c r="Y19" s="523"/>
      <c r="Z19" s="523"/>
      <c r="AA19" s="523"/>
      <c r="AB19" s="523"/>
      <c r="AC19" s="51"/>
      <c r="AD19" s="51" t="str">
        <f t="shared" si="0"/>
        <v/>
      </c>
      <c r="AE19" s="97"/>
      <c r="AF19" s="51" t="str">
        <f t="shared" si="1"/>
        <v/>
      </c>
      <c r="AG19" s="97"/>
      <c r="AH19" s="51" t="str">
        <f t="shared" si="2"/>
        <v/>
      </c>
    </row>
    <row r="20" spans="1:34">
      <c r="A20" s="514">
        <v>13</v>
      </c>
      <c r="B20" s="521"/>
      <c r="C20" s="523"/>
      <c r="D20" s="523"/>
      <c r="E20" s="523"/>
      <c r="F20" s="523"/>
      <c r="G20" s="523"/>
      <c r="H20" s="523"/>
      <c r="I20" s="523"/>
      <c r="J20" s="523"/>
      <c r="K20" s="523"/>
      <c r="L20" s="523"/>
      <c r="M20" s="523"/>
      <c r="N20" s="523"/>
      <c r="O20" s="523"/>
      <c r="P20" s="523"/>
      <c r="Q20" s="523"/>
      <c r="R20" s="523"/>
      <c r="S20" s="523"/>
      <c r="T20" s="523"/>
      <c r="U20" s="523"/>
      <c r="V20" s="523"/>
      <c r="W20" s="523"/>
      <c r="X20" s="523"/>
      <c r="Y20" s="523"/>
      <c r="Z20" s="523"/>
      <c r="AA20" s="523"/>
      <c r="AB20" s="523"/>
      <c r="AC20" s="51"/>
      <c r="AD20" s="51" t="str">
        <f t="shared" si="0"/>
        <v/>
      </c>
      <c r="AE20" s="97"/>
      <c r="AF20" s="51" t="str">
        <f t="shared" si="1"/>
        <v/>
      </c>
      <c r="AG20" s="97"/>
      <c r="AH20" s="51" t="str">
        <f t="shared" si="2"/>
        <v/>
      </c>
    </row>
    <row r="21" spans="1:34">
      <c r="A21" s="514">
        <v>14</v>
      </c>
      <c r="B21" s="521"/>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c r="AA21" s="523"/>
      <c r="AB21" s="523"/>
      <c r="AC21" s="51"/>
      <c r="AD21" s="51" t="str">
        <f t="shared" si="0"/>
        <v/>
      </c>
      <c r="AE21" s="97"/>
      <c r="AF21" s="51" t="str">
        <f t="shared" si="1"/>
        <v/>
      </c>
      <c r="AG21" s="97"/>
      <c r="AH21" s="51" t="str">
        <f t="shared" si="2"/>
        <v/>
      </c>
    </row>
    <row r="22" spans="1:34">
      <c r="A22" s="514">
        <v>15</v>
      </c>
      <c r="B22" s="521"/>
      <c r="C22" s="523"/>
      <c r="D22" s="523"/>
      <c r="E22" s="523"/>
      <c r="F22" s="523"/>
      <c r="G22" s="523"/>
      <c r="H22" s="523"/>
      <c r="I22" s="523"/>
      <c r="J22" s="523"/>
      <c r="K22" s="523"/>
      <c r="L22" s="523"/>
      <c r="M22" s="523"/>
      <c r="N22" s="523"/>
      <c r="O22" s="523"/>
      <c r="P22" s="523"/>
      <c r="Q22" s="523"/>
      <c r="R22" s="523"/>
      <c r="S22" s="523"/>
      <c r="T22" s="523"/>
      <c r="U22" s="523"/>
      <c r="V22" s="523"/>
      <c r="W22" s="523"/>
      <c r="X22" s="523"/>
      <c r="Y22" s="523"/>
      <c r="Z22" s="523"/>
      <c r="AA22" s="523"/>
      <c r="AB22" s="523"/>
      <c r="AC22" s="51"/>
      <c r="AD22" s="51" t="str">
        <f t="shared" si="0"/>
        <v/>
      </c>
      <c r="AE22" s="97"/>
      <c r="AF22" s="51" t="str">
        <f t="shared" si="1"/>
        <v/>
      </c>
      <c r="AG22" s="97"/>
      <c r="AH22" s="51" t="str">
        <f t="shared" si="2"/>
        <v/>
      </c>
    </row>
    <row r="23" spans="1:34">
      <c r="A23" s="514">
        <v>16</v>
      </c>
      <c r="B23" s="521"/>
      <c r="C23" s="523"/>
      <c r="D23" s="523"/>
      <c r="E23" s="523"/>
      <c r="F23" s="523"/>
      <c r="G23" s="523"/>
      <c r="H23" s="523"/>
      <c r="I23" s="523"/>
      <c r="J23" s="523"/>
      <c r="K23" s="523"/>
      <c r="L23" s="523"/>
      <c r="M23" s="523"/>
      <c r="N23" s="523"/>
      <c r="O23" s="523"/>
      <c r="P23" s="523"/>
      <c r="Q23" s="523"/>
      <c r="R23" s="523"/>
      <c r="S23" s="523"/>
      <c r="T23" s="523"/>
      <c r="U23" s="523"/>
      <c r="V23" s="523"/>
      <c r="W23" s="523"/>
      <c r="X23" s="523"/>
      <c r="Y23" s="523"/>
      <c r="Z23" s="523"/>
      <c r="AA23" s="523"/>
      <c r="AB23" s="523"/>
      <c r="AC23" s="51"/>
      <c r="AD23" s="51" t="str">
        <f t="shared" si="0"/>
        <v/>
      </c>
      <c r="AE23" s="97"/>
      <c r="AF23" s="51" t="str">
        <f t="shared" si="1"/>
        <v/>
      </c>
      <c r="AG23" s="97"/>
      <c r="AH23" s="51" t="str">
        <f t="shared" si="2"/>
        <v/>
      </c>
    </row>
    <row r="24" spans="1:34">
      <c r="A24" s="514">
        <v>17</v>
      </c>
      <c r="B24" s="521"/>
      <c r="C24" s="523"/>
      <c r="D24" s="523"/>
      <c r="E24" s="523"/>
      <c r="F24" s="523"/>
      <c r="G24" s="523"/>
      <c r="H24" s="523"/>
      <c r="I24" s="523"/>
      <c r="J24" s="523"/>
      <c r="K24" s="523"/>
      <c r="L24" s="523"/>
      <c r="M24" s="523"/>
      <c r="N24" s="523"/>
      <c r="O24" s="523"/>
      <c r="P24" s="523"/>
      <c r="Q24" s="523"/>
      <c r="R24" s="523"/>
      <c r="S24" s="523"/>
      <c r="T24" s="523"/>
      <c r="U24" s="523"/>
      <c r="V24" s="523"/>
      <c r="W24" s="523"/>
      <c r="X24" s="523"/>
      <c r="Y24" s="523"/>
      <c r="Z24" s="523"/>
      <c r="AA24" s="523"/>
      <c r="AB24" s="523"/>
      <c r="AC24" s="51"/>
      <c r="AD24" s="51" t="str">
        <f t="shared" si="0"/>
        <v/>
      </c>
      <c r="AE24" s="97"/>
      <c r="AF24" s="51" t="str">
        <f t="shared" si="1"/>
        <v/>
      </c>
      <c r="AG24" s="97"/>
      <c r="AH24" s="51" t="str">
        <f t="shared" si="2"/>
        <v/>
      </c>
    </row>
    <row r="25" spans="1:34">
      <c r="A25" s="514">
        <v>18</v>
      </c>
      <c r="B25" s="521"/>
      <c r="C25" s="523"/>
      <c r="D25" s="523"/>
      <c r="E25" s="523"/>
      <c r="F25" s="523"/>
      <c r="G25" s="523"/>
      <c r="H25" s="523"/>
      <c r="I25" s="523"/>
      <c r="J25" s="523"/>
      <c r="K25" s="523"/>
      <c r="L25" s="523"/>
      <c r="M25" s="523"/>
      <c r="N25" s="523"/>
      <c r="O25" s="523"/>
      <c r="P25" s="523"/>
      <c r="Q25" s="523"/>
      <c r="R25" s="523"/>
      <c r="S25" s="523"/>
      <c r="T25" s="523"/>
      <c r="U25" s="523"/>
      <c r="V25" s="523"/>
      <c r="W25" s="523"/>
      <c r="X25" s="523"/>
      <c r="Y25" s="523"/>
      <c r="Z25" s="523"/>
      <c r="AA25" s="523"/>
      <c r="AB25" s="523"/>
      <c r="AC25" s="51"/>
      <c r="AD25" s="51" t="str">
        <f t="shared" si="0"/>
        <v/>
      </c>
      <c r="AE25" s="97"/>
      <c r="AF25" s="51" t="str">
        <f t="shared" si="1"/>
        <v/>
      </c>
      <c r="AG25" s="97"/>
      <c r="AH25" s="51" t="str">
        <f t="shared" si="2"/>
        <v/>
      </c>
    </row>
    <row r="26" spans="1:34">
      <c r="A26" s="514">
        <v>19</v>
      </c>
      <c r="B26" s="521"/>
      <c r="C26" s="523"/>
      <c r="D26" s="523"/>
      <c r="E26" s="523"/>
      <c r="F26" s="523"/>
      <c r="G26" s="523"/>
      <c r="H26" s="523"/>
      <c r="I26" s="523"/>
      <c r="J26" s="523"/>
      <c r="K26" s="523"/>
      <c r="L26" s="523"/>
      <c r="M26" s="523"/>
      <c r="N26" s="523"/>
      <c r="O26" s="523"/>
      <c r="P26" s="523"/>
      <c r="Q26" s="523"/>
      <c r="R26" s="523"/>
      <c r="S26" s="523"/>
      <c r="T26" s="523"/>
      <c r="U26" s="523"/>
      <c r="V26" s="523"/>
      <c r="W26" s="523"/>
      <c r="X26" s="523"/>
      <c r="Y26" s="523"/>
      <c r="Z26" s="523"/>
      <c r="AA26" s="523"/>
      <c r="AB26" s="523"/>
      <c r="AC26" s="51"/>
      <c r="AD26" s="51" t="str">
        <f t="shared" si="0"/>
        <v/>
      </c>
      <c r="AE26" s="97"/>
      <c r="AF26" s="51" t="str">
        <f t="shared" si="1"/>
        <v/>
      </c>
      <c r="AG26" s="97"/>
      <c r="AH26" s="51" t="str">
        <f t="shared" si="2"/>
        <v/>
      </c>
    </row>
    <row r="27" spans="1:34">
      <c r="A27" s="514">
        <v>20</v>
      </c>
      <c r="B27" s="521"/>
      <c r="C27" s="523"/>
      <c r="D27" s="523"/>
      <c r="E27" s="523"/>
      <c r="F27" s="523"/>
      <c r="G27" s="523"/>
      <c r="H27" s="523"/>
      <c r="I27" s="523"/>
      <c r="J27" s="523"/>
      <c r="K27" s="523"/>
      <c r="L27" s="523"/>
      <c r="M27" s="523"/>
      <c r="N27" s="523"/>
      <c r="O27" s="523"/>
      <c r="P27" s="523"/>
      <c r="Q27" s="523"/>
      <c r="R27" s="523"/>
      <c r="S27" s="523"/>
      <c r="T27" s="523"/>
      <c r="U27" s="523"/>
      <c r="V27" s="523"/>
      <c r="W27" s="523"/>
      <c r="X27" s="523"/>
      <c r="Y27" s="523"/>
      <c r="Z27" s="523"/>
      <c r="AA27" s="523"/>
      <c r="AB27" s="523"/>
      <c r="AC27" s="51"/>
      <c r="AD27" s="51" t="str">
        <f t="shared" si="0"/>
        <v/>
      </c>
      <c r="AE27" s="97"/>
      <c r="AF27" s="51" t="str">
        <f t="shared" si="1"/>
        <v/>
      </c>
      <c r="AG27" s="97"/>
      <c r="AH27" s="51" t="str">
        <f t="shared" si="2"/>
        <v/>
      </c>
    </row>
    <row r="28" spans="1:34">
      <c r="A28" s="514"/>
    </row>
    <row r="29" spans="1:34">
      <c r="A29" s="514"/>
      <c r="AD29" s="2" t="s">
        <v>570</v>
      </c>
    </row>
    <row r="30" spans="1:34">
      <c r="AC30" s="525" t="s">
        <v>47</v>
      </c>
      <c r="AD30" s="2" t="s">
        <v>571</v>
      </c>
    </row>
    <row r="31" spans="1:34">
      <c r="AC31" s="525" t="s">
        <v>48</v>
      </c>
      <c r="AD31" s="2" t="s">
        <v>572</v>
      </c>
    </row>
  </sheetData>
  <mergeCells count="4">
    <mergeCell ref="A1:O1"/>
    <mergeCell ref="Q1:AH1"/>
    <mergeCell ref="A2:O2"/>
    <mergeCell ref="Q2:AH2"/>
  </mergeCells>
  <pageMargins left="0.7" right="0.7" top="0.75" bottom="0.75" header="0.3" footer="0.3"/>
  <pageSetup scale="42" orientation="landscape" r:id="rId1"/>
  <colBreaks count="1" manualBreakCount="1">
    <brk id="15" max="30" man="1"/>
  </colBreaks>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B2E1D-28CB-4C5F-807D-3CF525603282}">
  <sheetPr>
    <pageSetUpPr fitToPage="1"/>
  </sheetPr>
  <dimension ref="A2:O238"/>
  <sheetViews>
    <sheetView view="pageBreakPreview" zoomScale="90" zoomScaleNormal="100" zoomScaleSheetLayoutView="90" workbookViewId="0">
      <selection sqref="A1:E1"/>
    </sheetView>
  </sheetViews>
  <sheetFormatPr defaultColWidth="8.77734375" defaultRowHeight="15.75"/>
  <cols>
    <col min="1" max="1" width="8.77734375" style="526"/>
    <col min="2" max="2" width="33.44140625" style="511" customWidth="1"/>
    <col min="3" max="3" width="13" style="518" customWidth="1"/>
    <col min="4" max="4" width="14" style="526" customWidth="1"/>
    <col min="5" max="5" width="14.77734375" style="526" bestFit="1" customWidth="1"/>
    <col min="6" max="6" width="12.77734375" style="518" customWidth="1"/>
    <col min="7" max="7" width="33" style="518" customWidth="1"/>
    <col min="8" max="8" width="14" style="518" customWidth="1"/>
    <col min="9" max="9" width="21" style="518" customWidth="1"/>
    <col min="10" max="10" width="22" style="518" customWidth="1"/>
    <col min="11" max="11" width="16" style="518" customWidth="1"/>
    <col min="12" max="13" width="11" style="527" bestFit="1" customWidth="1"/>
    <col min="14" max="14" width="11.44140625" style="527" bestFit="1" customWidth="1"/>
    <col min="15" max="16384" width="8.77734375" style="527"/>
  </cols>
  <sheetData>
    <row r="2" spans="1:14">
      <c r="A2" s="1063" t="s">
        <v>573</v>
      </c>
      <c r="B2" s="1063"/>
      <c r="C2" s="1063"/>
      <c r="D2" s="1063"/>
      <c r="E2" s="1063"/>
      <c r="F2" s="1063"/>
      <c r="G2" s="1063"/>
      <c r="H2" s="1063"/>
      <c r="I2" s="1063"/>
      <c r="J2" s="1063"/>
      <c r="K2" s="1063"/>
      <c r="L2" s="1063"/>
      <c r="M2" s="1063"/>
      <c r="N2" s="1063"/>
    </row>
    <row r="3" spans="1:14">
      <c r="A3" s="1064" t="str">
        <f>'Appendix III'!$E$7</f>
        <v>GridLiance West LLC (GLW)</v>
      </c>
      <c r="B3" s="1064"/>
      <c r="C3" s="1064"/>
      <c r="D3" s="1064"/>
      <c r="E3" s="1064"/>
      <c r="F3" s="1064"/>
      <c r="G3" s="1064"/>
      <c r="H3" s="1064"/>
      <c r="I3" s="1064"/>
      <c r="J3" s="1064"/>
      <c r="K3" s="1064"/>
      <c r="L3" s="1064"/>
      <c r="M3" s="1064"/>
      <c r="N3" s="1064"/>
    </row>
    <row r="4" spans="1:14">
      <c r="H4" s="529"/>
      <c r="I4" s="529"/>
      <c r="J4" s="526"/>
    </row>
    <row r="5" spans="1:14">
      <c r="A5" s="526">
        <v>1</v>
      </c>
      <c r="B5" s="228" t="s">
        <v>574</v>
      </c>
      <c r="C5" s="3"/>
      <c r="D5" s="228"/>
      <c r="E5" s="228"/>
      <c r="G5" s="514" t="s">
        <v>575</v>
      </c>
      <c r="L5" s="43">
        <f>+'Appendix III'!J137</f>
        <v>159717821.20781446</v>
      </c>
      <c r="M5" s="518"/>
      <c r="N5" s="518"/>
    </row>
    <row r="6" spans="1:14">
      <c r="A6" s="526">
        <v>2</v>
      </c>
      <c r="B6" s="228" t="s">
        <v>576</v>
      </c>
      <c r="C6" s="3"/>
      <c r="D6" s="228"/>
      <c r="E6" s="228"/>
      <c r="G6" s="42" t="s">
        <v>577</v>
      </c>
      <c r="L6" s="43">
        <f>+'Appendix III'!J104+'Appendix III'!J106+'Appendix III'!J101</f>
        <v>24471672.342683896</v>
      </c>
      <c r="M6" s="530"/>
      <c r="N6" s="518"/>
    </row>
    <row r="7" spans="1:14">
      <c r="A7" s="526">
        <v>3</v>
      </c>
      <c r="B7" s="228" t="s">
        <v>578</v>
      </c>
      <c r="C7" s="3"/>
      <c r="D7" s="228"/>
      <c r="E7" s="228"/>
      <c r="G7" s="228" t="s">
        <v>579</v>
      </c>
      <c r="L7" s="43">
        <f>+L5-L6</f>
        <v>135246148.86513054</v>
      </c>
      <c r="M7" s="518"/>
      <c r="N7" s="518"/>
    </row>
    <row r="8" spans="1:14">
      <c r="A8" s="526">
        <v>4</v>
      </c>
      <c r="B8" s="2" t="s">
        <v>580</v>
      </c>
      <c r="C8" s="3"/>
      <c r="D8" s="228"/>
      <c r="E8" s="228"/>
      <c r="G8" s="228" t="str">
        <f>"(Appendix III, line "&amp;'Appendix III'!A191&amp;" (a))"</f>
        <v>(Appendix III, line 91 (a))</v>
      </c>
      <c r="L8" s="43">
        <f>+'Appendix III'!H191</f>
        <v>1286930578.7031679</v>
      </c>
      <c r="M8" s="518"/>
      <c r="N8" s="518"/>
    </row>
    <row r="9" spans="1:14">
      <c r="A9" s="526">
        <v>5</v>
      </c>
      <c r="B9" s="229" t="s">
        <v>581</v>
      </c>
      <c r="C9" s="3"/>
      <c r="E9" s="228"/>
      <c r="G9" s="228" t="s">
        <v>582</v>
      </c>
      <c r="L9" s="531">
        <f>IF(L8=0,0,L7/L8)</f>
        <v>0.10509203146094893</v>
      </c>
      <c r="M9" s="518"/>
      <c r="N9" s="518"/>
    </row>
    <row r="10" spans="1:14">
      <c r="A10" s="526">
        <v>6</v>
      </c>
      <c r="B10" s="2" t="s">
        <v>512</v>
      </c>
      <c r="C10" s="3"/>
      <c r="D10" s="232"/>
      <c r="E10" s="228"/>
      <c r="G10" s="228" t="s">
        <v>583</v>
      </c>
      <c r="L10" s="532">
        <f>+'3 - Incentives'!J38</f>
        <v>-9.184951490250893E-5</v>
      </c>
      <c r="M10" s="518"/>
      <c r="N10" s="518"/>
    </row>
    <row r="11" spans="1:14">
      <c r="C11" s="533"/>
      <c r="L11" s="518"/>
      <c r="M11" s="518"/>
      <c r="N11" s="518"/>
    </row>
    <row r="12" spans="1:14">
      <c r="C12" s="533"/>
      <c r="L12" s="518"/>
      <c r="M12" s="518"/>
      <c r="N12" s="518"/>
    </row>
    <row r="13" spans="1:14">
      <c r="C13" s="533"/>
      <c r="L13" s="518"/>
      <c r="M13" s="518"/>
      <c r="N13" s="518"/>
    </row>
    <row r="14" spans="1:14">
      <c r="L14" s="518"/>
      <c r="M14" s="518"/>
      <c r="N14" s="518"/>
    </row>
    <row r="15" spans="1:14">
      <c r="B15" s="528" t="s">
        <v>584</v>
      </c>
      <c r="C15" s="528" t="s">
        <v>585</v>
      </c>
      <c r="D15" s="528" t="s">
        <v>586</v>
      </c>
      <c r="E15" s="528" t="s">
        <v>587</v>
      </c>
      <c r="F15" s="528" t="s">
        <v>588</v>
      </c>
      <c r="G15" s="528" t="s">
        <v>589</v>
      </c>
      <c r="H15" s="528" t="s">
        <v>590</v>
      </c>
      <c r="I15" s="528" t="s">
        <v>591</v>
      </c>
      <c r="J15" s="528" t="s">
        <v>592</v>
      </c>
      <c r="K15" s="528" t="s">
        <v>593</v>
      </c>
      <c r="L15" s="528" t="s">
        <v>594</v>
      </c>
      <c r="M15" s="534" t="s">
        <v>595</v>
      </c>
      <c r="N15" s="534" t="s">
        <v>596</v>
      </c>
    </row>
    <row r="16" spans="1:14">
      <c r="B16" s="511" t="s">
        <v>597</v>
      </c>
      <c r="G16" s="535"/>
      <c r="H16" s="536"/>
      <c r="I16" s="536"/>
      <c r="J16" s="536"/>
      <c r="K16" s="537"/>
      <c r="L16" s="537"/>
      <c r="M16" s="538"/>
      <c r="N16" s="538"/>
    </row>
    <row r="17" spans="1:15" ht="87" customHeight="1">
      <c r="A17" s="511"/>
      <c r="B17" s="518" t="s">
        <v>598</v>
      </c>
      <c r="C17" s="539" t="s">
        <v>599</v>
      </c>
      <c r="D17" s="540" t="s">
        <v>600</v>
      </c>
      <c r="E17" s="540" t="s">
        <v>601</v>
      </c>
      <c r="F17" s="540" t="s">
        <v>602</v>
      </c>
      <c r="G17" s="1065" t="s">
        <v>603</v>
      </c>
      <c r="H17" s="1066"/>
      <c r="I17" s="1066"/>
      <c r="J17" s="1067"/>
      <c r="K17" s="541" t="s">
        <v>604</v>
      </c>
      <c r="L17" s="541" t="s">
        <v>605</v>
      </c>
      <c r="M17" s="542" t="s">
        <v>606</v>
      </c>
      <c r="N17" s="543" t="s">
        <v>607</v>
      </c>
    </row>
    <row r="18" spans="1:15" ht="84.2" customHeight="1">
      <c r="A18" s="511"/>
      <c r="B18" s="544"/>
      <c r="C18" s="539"/>
      <c r="D18" s="539" t="s">
        <v>608</v>
      </c>
      <c r="E18" s="539" t="s">
        <v>609</v>
      </c>
      <c r="F18" s="539" t="s">
        <v>610</v>
      </c>
      <c r="G18" s="545" t="s">
        <v>611</v>
      </c>
      <c r="H18" s="546" t="s">
        <v>612</v>
      </c>
      <c r="I18" s="546" t="s">
        <v>613</v>
      </c>
      <c r="J18" s="547" t="s">
        <v>614</v>
      </c>
      <c r="K18" s="547" t="s">
        <v>614</v>
      </c>
      <c r="L18" s="547" t="s">
        <v>615</v>
      </c>
      <c r="M18" s="526" t="s">
        <v>616</v>
      </c>
      <c r="N18" s="548" t="s">
        <v>617</v>
      </c>
    </row>
    <row r="19" spans="1:15" ht="31.5">
      <c r="A19" s="511"/>
      <c r="C19" s="228"/>
      <c r="D19" s="228"/>
      <c r="E19" s="228"/>
      <c r="F19" s="228"/>
      <c r="G19" s="549"/>
      <c r="J19" s="550" t="s">
        <v>618</v>
      </c>
      <c r="K19" s="550" t="s">
        <v>619</v>
      </c>
      <c r="L19" s="551"/>
      <c r="M19" s="518"/>
      <c r="N19" s="552"/>
    </row>
    <row r="20" spans="1:15">
      <c r="A20" s="511"/>
      <c r="C20" s="228"/>
      <c r="D20" s="228"/>
      <c r="E20" s="228"/>
      <c r="F20" s="228"/>
      <c r="G20" s="549"/>
      <c r="J20" s="553"/>
      <c r="K20" s="553"/>
      <c r="L20" s="553"/>
      <c r="M20" s="518"/>
      <c r="N20" s="552"/>
    </row>
    <row r="21" spans="1:15">
      <c r="A21" s="526" t="s">
        <v>620</v>
      </c>
      <c r="B21" s="554">
        <v>0</v>
      </c>
      <c r="C21" s="555">
        <v>0</v>
      </c>
      <c r="D21" s="556">
        <v>0</v>
      </c>
      <c r="E21" s="557">
        <f t="shared" ref="E21:E29" si="0">$L$9</f>
        <v>0.10509203146094893</v>
      </c>
      <c r="F21" s="557">
        <f t="shared" ref="F21:F29" si="1">+L$10*D21/100+E21</f>
        <v>0.10509203146094893</v>
      </c>
      <c r="G21" s="558">
        <v>0</v>
      </c>
      <c r="H21" s="559">
        <v>0</v>
      </c>
      <c r="I21" s="559">
        <v>0</v>
      </c>
      <c r="J21" s="560">
        <f t="shared" ref="J21:J29" si="2">+E21*G21+H21+I21</f>
        <v>0</v>
      </c>
      <c r="K21" s="561">
        <f>+F21*G21+H21+I21</f>
        <v>0</v>
      </c>
      <c r="L21" s="561">
        <f t="shared" ref="L21:L29" si="3">+K21-J21</f>
        <v>0</v>
      </c>
      <c r="M21" s="256">
        <v>0</v>
      </c>
      <c r="N21" s="562">
        <f t="shared" ref="N21:N30" si="4">+K21-M21</f>
        <v>0</v>
      </c>
    </row>
    <row r="22" spans="1:15">
      <c r="A22" s="526" t="s">
        <v>621</v>
      </c>
      <c r="B22" s="554">
        <v>0</v>
      </c>
      <c r="C22" s="563">
        <v>0</v>
      </c>
      <c r="D22" s="556">
        <v>0</v>
      </c>
      <c r="E22" s="557">
        <f t="shared" si="0"/>
        <v>0.10509203146094893</v>
      </c>
      <c r="F22" s="557">
        <f t="shared" si="1"/>
        <v>0.10509203146094893</v>
      </c>
      <c r="G22" s="558">
        <v>0</v>
      </c>
      <c r="H22" s="559">
        <v>0</v>
      </c>
      <c r="I22" s="559">
        <v>0</v>
      </c>
      <c r="J22" s="560">
        <f t="shared" si="2"/>
        <v>0</v>
      </c>
      <c r="K22" s="561">
        <f>+F22*G22+H22+I22</f>
        <v>0</v>
      </c>
      <c r="L22" s="561">
        <f t="shared" si="3"/>
        <v>0</v>
      </c>
      <c r="M22" s="256">
        <v>0</v>
      </c>
      <c r="N22" s="562">
        <f t="shared" si="4"/>
        <v>0</v>
      </c>
    </row>
    <row r="23" spans="1:15">
      <c r="A23" s="526" t="s">
        <v>622</v>
      </c>
      <c r="B23" s="554">
        <v>0</v>
      </c>
      <c r="C23" s="563">
        <v>0</v>
      </c>
      <c r="D23" s="556">
        <v>0</v>
      </c>
      <c r="E23" s="557">
        <f t="shared" si="0"/>
        <v>0.10509203146094893</v>
      </c>
      <c r="F23" s="557">
        <f t="shared" si="1"/>
        <v>0.10509203146094893</v>
      </c>
      <c r="G23" s="558">
        <v>0</v>
      </c>
      <c r="H23" s="559">
        <v>0</v>
      </c>
      <c r="I23" s="559">
        <v>0</v>
      </c>
      <c r="J23" s="560">
        <f t="shared" si="2"/>
        <v>0</v>
      </c>
      <c r="K23" s="561">
        <f>+F23*G23+H23+I23</f>
        <v>0</v>
      </c>
      <c r="L23" s="561">
        <f t="shared" si="3"/>
        <v>0</v>
      </c>
      <c r="M23" s="256">
        <v>0</v>
      </c>
      <c r="N23" s="562">
        <f t="shared" si="4"/>
        <v>0</v>
      </c>
    </row>
    <row r="24" spans="1:15">
      <c r="A24" s="526" t="s">
        <v>623</v>
      </c>
      <c r="B24" s="554">
        <v>0</v>
      </c>
      <c r="C24" s="563">
        <v>0</v>
      </c>
      <c r="D24" s="556">
        <v>0</v>
      </c>
      <c r="E24" s="557">
        <f t="shared" si="0"/>
        <v>0.10509203146094893</v>
      </c>
      <c r="F24" s="557">
        <f t="shared" si="1"/>
        <v>0.10509203146094893</v>
      </c>
      <c r="G24" s="564">
        <v>0</v>
      </c>
      <c r="H24" s="563">
        <v>0</v>
      </c>
      <c r="I24" s="563">
        <v>0</v>
      </c>
      <c r="J24" s="560">
        <f t="shared" si="2"/>
        <v>0</v>
      </c>
      <c r="K24" s="561">
        <f t="shared" ref="K24:K29" si="5">+F24*G24+H24</f>
        <v>0</v>
      </c>
      <c r="L24" s="561">
        <f t="shared" si="3"/>
        <v>0</v>
      </c>
      <c r="M24" s="256">
        <v>0</v>
      </c>
      <c r="N24" s="562">
        <f t="shared" si="4"/>
        <v>0</v>
      </c>
    </row>
    <row r="25" spans="1:15">
      <c r="A25" s="526" t="s">
        <v>624</v>
      </c>
      <c r="B25" s="554">
        <v>0</v>
      </c>
      <c r="C25" s="563">
        <v>0</v>
      </c>
      <c r="D25" s="556">
        <v>0</v>
      </c>
      <c r="E25" s="557">
        <f t="shared" si="0"/>
        <v>0.10509203146094893</v>
      </c>
      <c r="F25" s="557">
        <f t="shared" si="1"/>
        <v>0.10509203146094893</v>
      </c>
      <c r="G25" s="564">
        <v>0</v>
      </c>
      <c r="H25" s="563">
        <v>0</v>
      </c>
      <c r="I25" s="563">
        <v>0</v>
      </c>
      <c r="J25" s="560">
        <f t="shared" si="2"/>
        <v>0</v>
      </c>
      <c r="K25" s="561">
        <f t="shared" si="5"/>
        <v>0</v>
      </c>
      <c r="L25" s="561">
        <f t="shared" si="3"/>
        <v>0</v>
      </c>
      <c r="M25" s="256">
        <v>0</v>
      </c>
      <c r="N25" s="562">
        <f t="shared" si="4"/>
        <v>0</v>
      </c>
    </row>
    <row r="26" spans="1:15">
      <c r="A26" s="526" t="s">
        <v>625</v>
      </c>
      <c r="B26" s="554">
        <v>0</v>
      </c>
      <c r="C26" s="563">
        <v>0</v>
      </c>
      <c r="D26" s="556">
        <v>0</v>
      </c>
      <c r="E26" s="557">
        <f t="shared" si="0"/>
        <v>0.10509203146094893</v>
      </c>
      <c r="F26" s="557">
        <f t="shared" si="1"/>
        <v>0.10509203146094893</v>
      </c>
      <c r="G26" s="565">
        <v>0</v>
      </c>
      <c r="H26" s="563">
        <v>0</v>
      </c>
      <c r="I26" s="563">
        <v>0</v>
      </c>
      <c r="J26" s="560">
        <f t="shared" si="2"/>
        <v>0</v>
      </c>
      <c r="K26" s="561">
        <f t="shared" si="5"/>
        <v>0</v>
      </c>
      <c r="L26" s="561">
        <f t="shared" si="3"/>
        <v>0</v>
      </c>
      <c r="M26" s="256">
        <v>0</v>
      </c>
      <c r="N26" s="562">
        <f t="shared" si="4"/>
        <v>0</v>
      </c>
    </row>
    <row r="27" spans="1:15">
      <c r="A27" s="526" t="s">
        <v>626</v>
      </c>
      <c r="B27" s="554">
        <v>0</v>
      </c>
      <c r="C27" s="563">
        <v>0</v>
      </c>
      <c r="D27" s="556">
        <v>0</v>
      </c>
      <c r="E27" s="557">
        <f t="shared" si="0"/>
        <v>0.10509203146094893</v>
      </c>
      <c r="F27" s="557">
        <f t="shared" si="1"/>
        <v>0.10509203146094893</v>
      </c>
      <c r="G27" s="565">
        <v>0</v>
      </c>
      <c r="H27" s="563">
        <v>0</v>
      </c>
      <c r="I27" s="563">
        <v>0</v>
      </c>
      <c r="J27" s="560">
        <f t="shared" si="2"/>
        <v>0</v>
      </c>
      <c r="K27" s="561">
        <f t="shared" si="5"/>
        <v>0</v>
      </c>
      <c r="L27" s="561">
        <f t="shared" si="3"/>
        <v>0</v>
      </c>
      <c r="M27" s="256">
        <v>0</v>
      </c>
      <c r="N27" s="562">
        <f t="shared" si="4"/>
        <v>0</v>
      </c>
    </row>
    <row r="28" spans="1:15">
      <c r="A28" s="526" t="s">
        <v>627</v>
      </c>
      <c r="B28" s="554">
        <v>0</v>
      </c>
      <c r="C28" s="563">
        <v>0</v>
      </c>
      <c r="D28" s="556">
        <v>0</v>
      </c>
      <c r="E28" s="557">
        <f t="shared" si="0"/>
        <v>0.10509203146094893</v>
      </c>
      <c r="F28" s="557">
        <f t="shared" si="1"/>
        <v>0.10509203146094893</v>
      </c>
      <c r="G28" s="565">
        <v>0</v>
      </c>
      <c r="H28" s="563">
        <v>0</v>
      </c>
      <c r="I28" s="563">
        <v>0</v>
      </c>
      <c r="J28" s="560">
        <f t="shared" si="2"/>
        <v>0</v>
      </c>
      <c r="K28" s="561">
        <f t="shared" si="5"/>
        <v>0</v>
      </c>
      <c r="L28" s="561">
        <f t="shared" si="3"/>
        <v>0</v>
      </c>
      <c r="M28" s="256">
        <v>0</v>
      </c>
      <c r="N28" s="562">
        <f t="shared" si="4"/>
        <v>0</v>
      </c>
    </row>
    <row r="29" spans="1:15">
      <c r="A29" s="526" t="s">
        <v>271</v>
      </c>
      <c r="B29" s="554">
        <v>0</v>
      </c>
      <c r="C29" s="563">
        <v>0</v>
      </c>
      <c r="D29" s="556">
        <v>0</v>
      </c>
      <c r="E29" s="557">
        <f t="shared" si="0"/>
        <v>0.10509203146094893</v>
      </c>
      <c r="F29" s="557">
        <f t="shared" si="1"/>
        <v>0.10509203146094893</v>
      </c>
      <c r="G29" s="565">
        <v>0</v>
      </c>
      <c r="H29" s="563">
        <v>0</v>
      </c>
      <c r="I29" s="563">
        <v>0</v>
      </c>
      <c r="J29" s="560">
        <f t="shared" si="2"/>
        <v>0</v>
      </c>
      <c r="K29" s="561">
        <f t="shared" si="5"/>
        <v>0</v>
      </c>
      <c r="L29" s="561">
        <f t="shared" si="3"/>
        <v>0</v>
      </c>
      <c r="M29" s="256">
        <v>0</v>
      </c>
      <c r="N29" s="562">
        <f t="shared" si="4"/>
        <v>0</v>
      </c>
    </row>
    <row r="30" spans="1:15">
      <c r="A30" s="526">
        <v>8</v>
      </c>
      <c r="B30" s="534" t="s">
        <v>628</v>
      </c>
      <c r="G30" s="566">
        <f t="shared" ref="G30:L30" si="6">SUM(G21:G29)</f>
        <v>0</v>
      </c>
      <c r="H30" s="567">
        <f t="shared" si="6"/>
        <v>0</v>
      </c>
      <c r="I30" s="567">
        <f t="shared" si="6"/>
        <v>0</v>
      </c>
      <c r="J30" s="568">
        <f t="shared" si="6"/>
        <v>0</v>
      </c>
      <c r="K30" s="569">
        <f t="shared" si="6"/>
        <v>0</v>
      </c>
      <c r="L30" s="569">
        <f t="shared" si="6"/>
        <v>0</v>
      </c>
      <c r="M30" s="256">
        <v>0</v>
      </c>
      <c r="N30" s="562">
        <f t="shared" si="4"/>
        <v>0</v>
      </c>
      <c r="O30" s="570"/>
    </row>
    <row r="31" spans="1:15" ht="71.45" customHeight="1">
      <c r="A31" s="526">
        <v>9</v>
      </c>
      <c r="B31" s="511" t="s">
        <v>629</v>
      </c>
      <c r="G31" s="543" t="s">
        <v>630</v>
      </c>
      <c r="H31" s="543" t="s">
        <v>631</v>
      </c>
      <c r="I31" s="543" t="s">
        <v>632</v>
      </c>
      <c r="J31" s="543" t="s">
        <v>633</v>
      </c>
      <c r="K31" s="543" t="s">
        <v>634</v>
      </c>
      <c r="L31" s="543" t="s">
        <v>635</v>
      </c>
      <c r="M31" s="571"/>
      <c r="N31" s="543" t="s">
        <v>636</v>
      </c>
    </row>
    <row r="32" spans="1:15">
      <c r="L32" s="518"/>
      <c r="M32" s="518"/>
      <c r="N32" s="518"/>
    </row>
    <row r="33" spans="1:14">
      <c r="G33" s="43"/>
      <c r="L33" s="518"/>
      <c r="M33" s="518"/>
      <c r="N33" s="518"/>
    </row>
    <row r="34" spans="1:14">
      <c r="A34" s="511" t="s">
        <v>637</v>
      </c>
      <c r="G34" s="43"/>
      <c r="H34" s="530"/>
      <c r="I34" s="530"/>
      <c r="L34" s="518"/>
      <c r="M34" s="518"/>
      <c r="N34" s="518"/>
    </row>
    <row r="35" spans="1:14">
      <c r="A35" s="511" t="s">
        <v>638</v>
      </c>
      <c r="L35" s="518"/>
      <c r="M35" s="518"/>
      <c r="N35" s="518"/>
    </row>
    <row r="36" spans="1:14">
      <c r="A36" s="511" t="s">
        <v>639</v>
      </c>
      <c r="G36" s="530"/>
      <c r="H36" s="530"/>
      <c r="I36" s="530"/>
      <c r="L36" s="518"/>
      <c r="M36" s="518"/>
      <c r="N36" s="518"/>
    </row>
    <row r="37" spans="1:14">
      <c r="B37" s="2" t="s">
        <v>517</v>
      </c>
      <c r="C37" s="2"/>
      <c r="J37" s="572"/>
      <c r="K37" s="572"/>
      <c r="L37" s="518"/>
      <c r="M37" s="518"/>
      <c r="N37" s="518"/>
    </row>
    <row r="38" spans="1:14">
      <c r="B38" s="512" t="s">
        <v>518</v>
      </c>
      <c r="C38" s="1068" t="s">
        <v>519</v>
      </c>
      <c r="D38" s="1068"/>
      <c r="L38" s="518"/>
      <c r="M38" s="518"/>
      <c r="N38" s="518"/>
    </row>
    <row r="39" spans="1:14">
      <c r="B39" s="573"/>
      <c r="C39" s="1069"/>
      <c r="D39" s="1069"/>
      <c r="L39" s="518"/>
      <c r="M39" s="518"/>
      <c r="N39" s="518"/>
    </row>
    <row r="40" spans="1:14">
      <c r="B40" s="573"/>
      <c r="C40" s="1069"/>
      <c r="D40" s="1069"/>
      <c r="L40" s="518"/>
      <c r="M40" s="518"/>
      <c r="N40" s="518"/>
    </row>
    <row r="41" spans="1:14">
      <c r="B41" s="573"/>
      <c r="C41" s="1069"/>
      <c r="D41" s="1069"/>
      <c r="L41" s="518"/>
      <c r="M41" s="518"/>
      <c r="N41" s="518"/>
    </row>
    <row r="42" spans="1:14" ht="30.75" customHeight="1">
      <c r="A42" s="574" t="s">
        <v>640</v>
      </c>
      <c r="L42" s="518"/>
      <c r="M42" s="518"/>
      <c r="N42" s="518"/>
    </row>
    <row r="43" spans="1:14">
      <c r="A43" s="574" t="s">
        <v>641</v>
      </c>
      <c r="L43" s="518"/>
      <c r="M43" s="518"/>
      <c r="N43" s="518"/>
    </row>
    <row r="44" spans="1:14">
      <c r="A44" s="511" t="s">
        <v>642</v>
      </c>
      <c r="L44" s="518"/>
      <c r="M44" s="518"/>
      <c r="N44" s="518"/>
    </row>
    <row r="45" spans="1:14">
      <c r="A45" s="511" t="s">
        <v>643</v>
      </c>
      <c r="L45" s="518"/>
      <c r="M45" s="518"/>
      <c r="N45" s="518"/>
    </row>
    <row r="46" spans="1:14">
      <c r="A46" s="511"/>
      <c r="B46" s="542" t="s">
        <v>203</v>
      </c>
      <c r="C46" s="1070" t="s">
        <v>205</v>
      </c>
      <c r="D46" s="1071"/>
      <c r="E46" s="542" t="s">
        <v>207</v>
      </c>
      <c r="F46" s="542" t="s">
        <v>209</v>
      </c>
      <c r="G46" s="542" t="s">
        <v>212</v>
      </c>
      <c r="L46" s="518"/>
      <c r="M46" s="518"/>
      <c r="N46" s="518"/>
    </row>
    <row r="47" spans="1:14" ht="63">
      <c r="B47" s="512" t="s">
        <v>518</v>
      </c>
      <c r="C47" s="1072" t="s">
        <v>644</v>
      </c>
      <c r="D47" s="1072"/>
      <c r="E47" s="575" t="s">
        <v>645</v>
      </c>
      <c r="F47" s="576" t="s">
        <v>646</v>
      </c>
      <c r="G47" s="577" t="s">
        <v>647</v>
      </c>
      <c r="J47" s="43"/>
      <c r="K47" s="43"/>
      <c r="L47" s="43"/>
      <c r="M47" s="518"/>
      <c r="N47" s="518"/>
    </row>
    <row r="48" spans="1:14">
      <c r="A48" s="526">
        <v>10</v>
      </c>
      <c r="B48" s="578">
        <v>0</v>
      </c>
      <c r="C48" s="1062">
        <v>0</v>
      </c>
      <c r="D48" s="1062"/>
      <c r="E48" s="580">
        <f>IF(C48&gt;0,C48/C$52,0)</f>
        <v>0</v>
      </c>
      <c r="F48" s="579">
        <f>('Appendix III'!J$100-'Appendix III'!J$101+'Appendix III'!J$102+'Appendix III'!J$103)*E48</f>
        <v>0</v>
      </c>
      <c r="G48" s="580">
        <f>+C48+F48</f>
        <v>0</v>
      </c>
      <c r="H48" s="2"/>
      <c r="L48" s="518"/>
      <c r="M48" s="518"/>
      <c r="N48" s="518"/>
    </row>
    <row r="49" spans="1:14">
      <c r="A49" s="526" t="s">
        <v>284</v>
      </c>
      <c r="B49" s="578">
        <v>0</v>
      </c>
      <c r="C49" s="1062">
        <v>0</v>
      </c>
      <c r="D49" s="1062"/>
      <c r="E49" s="580">
        <f>IF(C49&gt;0,C49/C$52,0)</f>
        <v>0</v>
      </c>
      <c r="F49" s="579">
        <f>('Appendix III'!J$100-'Appendix III'!J$101+'Appendix III'!J$102+'Appendix III'!J$103)*E49</f>
        <v>0</v>
      </c>
      <c r="G49" s="580">
        <f>+C49+F49</f>
        <v>0</v>
      </c>
      <c r="H49" s="2"/>
      <c r="L49" s="518"/>
      <c r="M49" s="518"/>
      <c r="N49" s="518"/>
    </row>
    <row r="50" spans="1:14">
      <c r="A50" s="526" t="s">
        <v>286</v>
      </c>
      <c r="B50" s="578"/>
      <c r="C50" s="1062"/>
      <c r="D50" s="1062"/>
      <c r="E50" s="580">
        <f>IF(C50&gt;0,C50/C$52,0)</f>
        <v>0</v>
      </c>
      <c r="F50" s="579"/>
      <c r="G50" s="580"/>
      <c r="H50" s="2"/>
      <c r="K50" s="43"/>
      <c r="L50" s="518"/>
      <c r="M50" s="518"/>
      <c r="N50" s="518"/>
    </row>
    <row r="51" spans="1:14">
      <c r="A51" s="526" t="s">
        <v>271</v>
      </c>
      <c r="B51" s="578"/>
      <c r="C51" s="1062"/>
      <c r="D51" s="1062"/>
      <c r="E51" s="580">
        <f>IF(C51&gt;0,C51/C$52,0)</f>
        <v>0</v>
      </c>
      <c r="F51" s="579"/>
      <c r="G51" s="580"/>
      <c r="K51" s="530"/>
      <c r="L51" s="518"/>
    </row>
    <row r="52" spans="1:14">
      <c r="A52" s="526">
        <v>11</v>
      </c>
      <c r="B52" s="581" t="s">
        <v>648</v>
      </c>
      <c r="C52" s="1074">
        <f>SUM(C48:D51)</f>
        <v>0</v>
      </c>
      <c r="D52" s="1074"/>
      <c r="E52" s="97"/>
      <c r="F52" s="97"/>
      <c r="G52" s="97">
        <f>SUM(G48:G51)</f>
        <v>0</v>
      </c>
      <c r="L52" s="518"/>
    </row>
    <row r="53" spans="1:14">
      <c r="L53" s="518"/>
    </row>
    <row r="54" spans="1:14">
      <c r="A54" s="526" t="s">
        <v>649</v>
      </c>
      <c r="B54" s="511" t="s">
        <v>650</v>
      </c>
      <c r="L54" s="518"/>
    </row>
    <row r="55" spans="1:14">
      <c r="B55" s="511" t="s">
        <v>651</v>
      </c>
      <c r="C55" s="1073" t="s">
        <v>652</v>
      </c>
      <c r="D55" s="1073"/>
      <c r="E55" s="1073"/>
      <c r="F55" s="1073"/>
      <c r="G55" s="1073"/>
      <c r="H55" s="1073"/>
      <c r="I55" s="1073"/>
      <c r="J55" s="1073"/>
      <c r="K55" s="1073"/>
      <c r="L55" s="1073"/>
      <c r="M55" s="1073"/>
    </row>
    <row r="56" spans="1:14">
      <c r="B56" s="511" t="s">
        <v>653</v>
      </c>
      <c r="C56" s="1073" t="s">
        <v>654</v>
      </c>
      <c r="D56" s="1073"/>
      <c r="E56" s="1073"/>
      <c r="F56" s="1073"/>
      <c r="G56" s="1073"/>
      <c r="H56" s="1073"/>
      <c r="I56" s="1073"/>
      <c r="J56" s="1073"/>
      <c r="K56" s="1073"/>
      <c r="L56" s="1073"/>
      <c r="M56" s="1073"/>
    </row>
    <row r="57" spans="1:14">
      <c r="B57" s="511" t="s">
        <v>655</v>
      </c>
      <c r="C57" s="1073" t="s">
        <v>656</v>
      </c>
      <c r="D57" s="1073"/>
      <c r="E57" s="1073"/>
      <c r="F57" s="1073"/>
      <c r="G57" s="1073"/>
      <c r="H57" s="1073"/>
      <c r="I57" s="1073"/>
      <c r="J57" s="1073"/>
      <c r="K57" s="1073"/>
      <c r="L57" s="1073"/>
      <c r="M57" s="1073"/>
    </row>
    <row r="58" spans="1:14">
      <c r="B58" s="511" t="s">
        <v>657</v>
      </c>
      <c r="C58" s="1073" t="s">
        <v>658</v>
      </c>
      <c r="D58" s="1073"/>
      <c r="E58" s="1073"/>
      <c r="F58" s="1073"/>
      <c r="G58" s="1073"/>
      <c r="H58" s="1073"/>
      <c r="I58" s="1073"/>
      <c r="J58" s="1073"/>
      <c r="K58" s="1073"/>
      <c r="L58" s="1073"/>
      <c r="M58" s="1073"/>
    </row>
    <row r="59" spans="1:14">
      <c r="B59" s="511" t="s">
        <v>659</v>
      </c>
      <c r="C59" s="1073" t="s">
        <v>660</v>
      </c>
      <c r="D59" s="1073"/>
      <c r="E59" s="1073"/>
      <c r="F59" s="1073"/>
      <c r="G59" s="1073"/>
      <c r="H59" s="1073"/>
      <c r="I59" s="1073"/>
      <c r="J59" s="1073"/>
      <c r="K59" s="1073"/>
      <c r="L59" s="1073"/>
      <c r="M59" s="1073"/>
    </row>
    <row r="60" spans="1:14">
      <c r="B60" s="511" t="s">
        <v>661</v>
      </c>
      <c r="C60" s="1073" t="s">
        <v>662</v>
      </c>
      <c r="D60" s="1073"/>
      <c r="E60" s="1073"/>
      <c r="F60" s="1073"/>
      <c r="G60" s="1073"/>
      <c r="H60" s="1073"/>
      <c r="I60" s="1073"/>
      <c r="J60" s="1073"/>
      <c r="K60" s="1073"/>
      <c r="L60" s="1073"/>
      <c r="M60" s="1073"/>
    </row>
    <row r="61" spans="1:14">
      <c r="B61" s="511" t="s">
        <v>663</v>
      </c>
      <c r="C61" s="1073" t="s">
        <v>664</v>
      </c>
      <c r="D61" s="1073"/>
      <c r="E61" s="1073"/>
      <c r="F61" s="1073"/>
      <c r="G61" s="1073"/>
      <c r="H61" s="1073"/>
      <c r="I61" s="1073"/>
      <c r="J61" s="1073"/>
      <c r="K61" s="1073"/>
      <c r="L61" s="1073"/>
      <c r="M61" s="1073"/>
    </row>
    <row r="62" spans="1:14">
      <c r="B62" s="511" t="s">
        <v>665</v>
      </c>
      <c r="C62" s="1073" t="s">
        <v>666</v>
      </c>
      <c r="D62" s="1073"/>
      <c r="E62" s="1073"/>
      <c r="F62" s="1073"/>
      <c r="G62" s="1073"/>
      <c r="H62" s="1073"/>
      <c r="I62" s="1073"/>
      <c r="J62" s="1073"/>
      <c r="K62" s="1073"/>
      <c r="L62" s="1073"/>
    </row>
    <row r="63" spans="1:14">
      <c r="B63" s="511" t="s">
        <v>667</v>
      </c>
      <c r="C63" s="1073" t="s">
        <v>668</v>
      </c>
      <c r="D63" s="1073"/>
      <c r="E63" s="1073"/>
      <c r="F63" s="1073"/>
      <c r="G63" s="1073"/>
      <c r="H63" s="1073"/>
      <c r="I63" s="1073"/>
      <c r="J63" s="1073"/>
      <c r="K63" s="1073"/>
      <c r="L63" s="1073"/>
    </row>
    <row r="64" spans="1:14">
      <c r="B64" s="511" t="s">
        <v>669</v>
      </c>
      <c r="C64" s="1073" t="s">
        <v>670</v>
      </c>
      <c r="D64" s="1073"/>
      <c r="E64" s="1073"/>
      <c r="F64" s="1073"/>
      <c r="G64" s="1073"/>
      <c r="H64" s="1073"/>
      <c r="I64" s="1073"/>
      <c r="J64" s="1073"/>
      <c r="K64" s="1073"/>
      <c r="L64" s="1073"/>
    </row>
    <row r="65" spans="2:12">
      <c r="B65" s="511" t="s">
        <v>671</v>
      </c>
      <c r="C65" s="1073" t="s">
        <v>672</v>
      </c>
      <c r="D65" s="1073"/>
      <c r="E65" s="1073"/>
      <c r="F65" s="1073"/>
      <c r="G65" s="1073"/>
      <c r="H65" s="1073"/>
      <c r="I65" s="1073"/>
      <c r="J65" s="1073"/>
      <c r="K65" s="1073"/>
      <c r="L65" s="1073"/>
    </row>
    <row r="66" spans="2:12">
      <c r="B66" s="511" t="s">
        <v>673</v>
      </c>
      <c r="C66" s="1073" t="s">
        <v>674</v>
      </c>
      <c r="D66" s="1073"/>
      <c r="E66" s="1073"/>
      <c r="F66" s="1073"/>
      <c r="G66" s="1073"/>
      <c r="H66" s="1073"/>
      <c r="I66" s="1073"/>
      <c r="J66" s="1073"/>
      <c r="K66" s="1073"/>
      <c r="L66" s="1073"/>
    </row>
    <row r="67" spans="2:12">
      <c r="B67" s="511" t="s">
        <v>675</v>
      </c>
      <c r="C67" s="1073" t="s">
        <v>676</v>
      </c>
      <c r="D67" s="1073"/>
      <c r="E67" s="1073"/>
      <c r="F67" s="1073"/>
      <c r="G67" s="1073"/>
      <c r="H67" s="1073"/>
      <c r="I67" s="1073"/>
      <c r="J67" s="1073"/>
      <c r="K67" s="1073"/>
      <c r="L67" s="1073"/>
    </row>
    <row r="68" spans="2:12">
      <c r="B68" s="511" t="s">
        <v>677</v>
      </c>
      <c r="C68" s="1076" t="s">
        <v>678</v>
      </c>
      <c r="D68" s="1076"/>
      <c r="E68" s="1076"/>
      <c r="F68" s="1076"/>
      <c r="G68" s="1076"/>
      <c r="H68" s="1076"/>
      <c r="I68" s="1076"/>
      <c r="J68" s="1076"/>
      <c r="K68" s="1076"/>
      <c r="L68" s="1076"/>
    </row>
    <row r="69" spans="2:12">
      <c r="B69" s="511" t="s">
        <v>679</v>
      </c>
      <c r="C69" s="1073" t="s">
        <v>680</v>
      </c>
      <c r="D69" s="1073"/>
      <c r="E69" s="1073"/>
      <c r="F69" s="1073"/>
      <c r="G69" s="1073"/>
      <c r="H69" s="1073"/>
      <c r="I69" s="1073"/>
      <c r="J69" s="1073"/>
      <c r="K69" s="1073"/>
      <c r="L69" s="1073"/>
    </row>
    <row r="70" spans="2:12">
      <c r="B70" s="511" t="s">
        <v>681</v>
      </c>
      <c r="C70" s="1076" t="s">
        <v>682</v>
      </c>
      <c r="D70" s="1076"/>
      <c r="E70" s="1076"/>
      <c r="F70" s="1076"/>
      <c r="G70" s="1076"/>
      <c r="H70" s="1076"/>
      <c r="I70" s="1076"/>
      <c r="J70" s="1076"/>
      <c r="K70" s="1076"/>
      <c r="L70" s="1076"/>
    </row>
    <row r="71" spans="2:12">
      <c r="C71" s="1075"/>
      <c r="D71" s="1075"/>
      <c r="E71" s="1075"/>
      <c r="F71" s="1075"/>
      <c r="G71" s="1075"/>
      <c r="H71" s="1075"/>
      <c r="I71" s="1075"/>
      <c r="J71" s="1075"/>
      <c r="K71" s="1075"/>
      <c r="L71" s="1075"/>
    </row>
    <row r="78" spans="2:12">
      <c r="C78" s="518" t="s">
        <v>55</v>
      </c>
    </row>
    <row r="228" spans="1:8">
      <c r="H228" s="582"/>
    </row>
    <row r="230" spans="1:8">
      <c r="A230" s="518"/>
      <c r="B230" s="518"/>
    </row>
    <row r="231" spans="1:8">
      <c r="A231" s="518"/>
      <c r="B231" s="518"/>
    </row>
    <row r="232" spans="1:8">
      <c r="A232" s="518"/>
      <c r="B232" s="518"/>
    </row>
    <row r="233" spans="1:8">
      <c r="A233" s="518"/>
      <c r="B233" s="518"/>
    </row>
    <row r="234" spans="1:8">
      <c r="A234" s="518"/>
      <c r="B234" s="518"/>
    </row>
    <row r="235" spans="1:8">
      <c r="A235" s="518"/>
      <c r="B235" s="518"/>
    </row>
    <row r="236" spans="1:8">
      <c r="A236" s="518"/>
      <c r="B236" s="518"/>
    </row>
    <row r="237" spans="1:8">
      <c r="A237" s="518"/>
      <c r="B237" s="518"/>
    </row>
    <row r="238" spans="1:8">
      <c r="A238" s="518"/>
      <c r="B238" s="518"/>
    </row>
  </sheetData>
  <mergeCells count="31">
    <mergeCell ref="C71:L71"/>
    <mergeCell ref="C65:L65"/>
    <mergeCell ref="C66:L66"/>
    <mergeCell ref="C67:L67"/>
    <mergeCell ref="C68:L68"/>
    <mergeCell ref="C69:L69"/>
    <mergeCell ref="C70:L70"/>
    <mergeCell ref="C64:L64"/>
    <mergeCell ref="C51:D51"/>
    <mergeCell ref="C52:D52"/>
    <mergeCell ref="C55:M55"/>
    <mergeCell ref="C56:M56"/>
    <mergeCell ref="C57:M57"/>
    <mergeCell ref="C58:M58"/>
    <mergeCell ref="C59:M59"/>
    <mergeCell ref="C60:M60"/>
    <mergeCell ref="C61:M61"/>
    <mergeCell ref="C62:L62"/>
    <mergeCell ref="C63:L63"/>
    <mergeCell ref="C50:D50"/>
    <mergeCell ref="A2:N2"/>
    <mergeCell ref="A3:N3"/>
    <mergeCell ref="G17:J17"/>
    <mergeCell ref="C38:D38"/>
    <mergeCell ref="C39:D39"/>
    <mergeCell ref="C40:D40"/>
    <mergeCell ref="C41:D41"/>
    <mergeCell ref="C46:D46"/>
    <mergeCell ref="C47:D47"/>
    <mergeCell ref="C48:D48"/>
    <mergeCell ref="C49:D49"/>
  </mergeCells>
  <pageMargins left="0.7" right="0.7" top="0.75" bottom="0.75" header="0.3" footer="0.3"/>
  <pageSetup scale="37" orientation="landscape"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A52C7-0B27-4218-9396-683D0937CE86}">
  <sheetPr>
    <pageSetUpPr fitToPage="1"/>
  </sheetPr>
  <dimension ref="A1:L52"/>
  <sheetViews>
    <sheetView view="pageBreakPreview" zoomScale="90" zoomScaleNormal="100" zoomScaleSheetLayoutView="90" workbookViewId="0">
      <selection activeCell="G28" sqref="G28"/>
    </sheetView>
  </sheetViews>
  <sheetFormatPr defaultColWidth="8.77734375" defaultRowHeight="15.75"/>
  <cols>
    <col min="1" max="1" width="6" style="3" bestFit="1" customWidth="1"/>
    <col min="2" max="2" width="27" style="2" customWidth="1"/>
    <col min="3" max="3" width="26.109375" style="2" customWidth="1"/>
    <col min="4" max="4" width="15.44140625" style="2" bestFit="1" customWidth="1"/>
    <col min="5" max="5" width="18.77734375" style="2" customWidth="1"/>
    <col min="6" max="6" width="14.109375" style="2" bestFit="1" customWidth="1"/>
    <col min="7" max="7" width="18.44140625" style="2" customWidth="1"/>
    <col min="8" max="8" width="14.109375" style="2" bestFit="1" customWidth="1"/>
    <col min="9" max="9" width="6.6640625" style="2" customWidth="1"/>
    <col min="10" max="10" width="15.77734375" style="2" customWidth="1"/>
    <col min="11" max="11" width="17.109375" style="2" customWidth="1"/>
    <col min="12" max="12" width="13.44140625" style="2" customWidth="1"/>
    <col min="14" max="14" width="8.44140625" bestFit="1" customWidth="1"/>
  </cols>
  <sheetData>
    <row r="1" spans="1:12" s="583" customFormat="1">
      <c r="A1" s="3"/>
      <c r="B1" s="1013"/>
      <c r="C1" s="1013"/>
      <c r="D1" s="1013"/>
      <c r="E1" s="1013"/>
      <c r="F1" s="1013"/>
      <c r="G1" s="1013"/>
      <c r="H1" s="1013"/>
      <c r="I1" s="1013"/>
      <c r="J1" s="1013"/>
      <c r="K1" s="1013"/>
      <c r="L1" s="1013"/>
    </row>
    <row r="2" spans="1:12" s="583" customFormat="1">
      <c r="A2" s="1077" t="s">
        <v>683</v>
      </c>
      <c r="B2" s="1077"/>
      <c r="C2" s="1077"/>
      <c r="D2" s="1077"/>
      <c r="E2" s="1077"/>
      <c r="F2" s="1077"/>
      <c r="G2" s="1077"/>
      <c r="H2" s="1077"/>
      <c r="I2" s="1077"/>
      <c r="J2" s="1077"/>
      <c r="K2" s="584"/>
      <c r="L2" s="584"/>
    </row>
    <row r="3" spans="1:12" s="583" customFormat="1">
      <c r="A3" s="3"/>
      <c r="B3" s="1078"/>
      <c r="C3" s="1078"/>
      <c r="D3" s="1078"/>
      <c r="E3" s="1078"/>
      <c r="F3" s="1078"/>
      <c r="G3" s="1078"/>
      <c r="H3" s="1079"/>
      <c r="I3" s="1078"/>
      <c r="J3" s="1078"/>
      <c r="K3" s="1078"/>
      <c r="L3" s="1078"/>
    </row>
    <row r="4" spans="1:12">
      <c r="B4" s="584"/>
      <c r="C4" s="584"/>
      <c r="D4" s="584"/>
      <c r="E4" s="584"/>
      <c r="F4" s="584"/>
      <c r="G4" s="584"/>
      <c r="H4" s="584"/>
      <c r="I4" s="584"/>
      <c r="J4" s="584"/>
      <c r="K4" s="584"/>
      <c r="L4" s="584"/>
    </row>
    <row r="5" spans="1:12">
      <c r="A5" s="585"/>
      <c r="B5" s="586"/>
      <c r="C5" s="586"/>
      <c r="D5" s="586"/>
      <c r="E5" s="587"/>
      <c r="F5" s="587"/>
      <c r="G5" s="587"/>
      <c r="H5" s="586"/>
      <c r="I5" s="588"/>
      <c r="J5" s="588"/>
    </row>
    <row r="6" spans="1:12">
      <c r="A6" s="589"/>
      <c r="B6" s="590"/>
      <c r="C6" s="590"/>
      <c r="D6" s="590"/>
      <c r="E6" s="591"/>
      <c r="F6" s="592"/>
      <c r="G6" s="593"/>
      <c r="H6" s="594"/>
      <c r="I6" s="589"/>
      <c r="J6" s="589"/>
    </row>
    <row r="7" spans="1:12">
      <c r="A7" s="595"/>
      <c r="B7" s="590" t="s">
        <v>306</v>
      </c>
      <c r="C7" s="590"/>
      <c r="D7" s="590"/>
      <c r="E7" s="586"/>
      <c r="F7" s="1080" t="s">
        <v>684</v>
      </c>
      <c r="G7" s="1081"/>
      <c r="H7" s="1082"/>
      <c r="I7" s="586"/>
      <c r="J7" s="586"/>
      <c r="K7" s="510"/>
    </row>
    <row r="8" spans="1:12">
      <c r="A8" s="596">
        <v>1</v>
      </c>
      <c r="B8" s="597">
        <f ca="1">+YEAR(TODAY())-1</f>
        <v>2025</v>
      </c>
      <c r="C8" s="590"/>
      <c r="D8" s="598"/>
      <c r="E8" s="598"/>
      <c r="F8" s="598"/>
      <c r="G8" s="598"/>
      <c r="H8" s="598"/>
      <c r="I8" s="586"/>
      <c r="J8" s="586"/>
      <c r="K8" s="510"/>
      <c r="L8" s="255"/>
    </row>
    <row r="9" spans="1:12">
      <c r="A9" s="596"/>
      <c r="B9" s="599" t="s">
        <v>203</v>
      </c>
      <c r="C9" s="600" t="s">
        <v>205</v>
      </c>
      <c r="D9" s="601" t="s">
        <v>207</v>
      </c>
      <c r="E9" s="601" t="s">
        <v>209</v>
      </c>
      <c r="F9" s="601" t="s">
        <v>212</v>
      </c>
      <c r="G9" s="601" t="s">
        <v>214</v>
      </c>
      <c r="H9" s="601" t="s">
        <v>221</v>
      </c>
      <c r="I9" s="586"/>
      <c r="J9" s="586"/>
      <c r="K9" s="510"/>
    </row>
    <row r="10" spans="1:12">
      <c r="A10" s="596"/>
      <c r="B10" s="602"/>
      <c r="C10" s="602"/>
      <c r="D10" s="603"/>
      <c r="E10" s="603"/>
      <c r="F10" s="603" t="s">
        <v>685</v>
      </c>
      <c r="G10" s="604"/>
      <c r="H10" s="604"/>
      <c r="I10" s="586"/>
      <c r="J10" s="586"/>
      <c r="K10" s="510"/>
    </row>
    <row r="11" spans="1:12">
      <c r="A11" s="596"/>
      <c r="B11" s="605"/>
      <c r="C11" s="603"/>
      <c r="D11" s="603" t="s">
        <v>686</v>
      </c>
      <c r="E11" s="603"/>
      <c r="F11" s="603" t="s">
        <v>687</v>
      </c>
      <c r="G11" s="603" t="s">
        <v>688</v>
      </c>
      <c r="H11" s="605" t="s">
        <v>689</v>
      </c>
      <c r="I11" s="586"/>
      <c r="J11" s="586"/>
      <c r="K11" s="510"/>
    </row>
    <row r="12" spans="1:12">
      <c r="A12" s="596"/>
      <c r="B12" s="606" t="s">
        <v>518</v>
      </c>
      <c r="C12" s="603"/>
      <c r="D12" s="603" t="s">
        <v>607</v>
      </c>
      <c r="E12" s="603"/>
      <c r="F12" s="603" t="s">
        <v>690</v>
      </c>
      <c r="G12" s="603" t="s">
        <v>691</v>
      </c>
      <c r="H12" s="605" t="s">
        <v>692</v>
      </c>
      <c r="I12" s="586"/>
      <c r="J12" s="586"/>
      <c r="K12" s="510"/>
    </row>
    <row r="13" spans="1:12" ht="18.75">
      <c r="A13" s="596"/>
      <c r="B13" s="601" t="s">
        <v>693</v>
      </c>
      <c r="C13" s="601" t="s">
        <v>694</v>
      </c>
      <c r="D13" s="601" t="s">
        <v>695</v>
      </c>
      <c r="E13" s="607" t="s">
        <v>696</v>
      </c>
      <c r="F13" s="601" t="s">
        <v>697</v>
      </c>
      <c r="G13" s="601" t="s">
        <v>698</v>
      </c>
      <c r="H13" s="601" t="s">
        <v>699</v>
      </c>
      <c r="I13" s="586"/>
      <c r="J13" s="586"/>
      <c r="K13" s="510"/>
    </row>
    <row r="14" spans="1:12">
      <c r="A14" s="596">
        <v>2</v>
      </c>
      <c r="B14" s="608" t="s">
        <v>700</v>
      </c>
      <c r="C14" s="608" t="s">
        <v>701</v>
      </c>
      <c r="D14" s="609">
        <v>91286976.867075801</v>
      </c>
      <c r="E14" s="610">
        <v>83876147</v>
      </c>
      <c r="F14" s="611">
        <f>+D14-E14</f>
        <v>7410829.8670758009</v>
      </c>
      <c r="G14" s="612">
        <f>F14*(E45*24)</f>
        <v>1092568.0604031752</v>
      </c>
      <c r="H14" s="613">
        <f>+F14+G14</f>
        <v>8503397.9274789765</v>
      </c>
      <c r="I14" s="586"/>
      <c r="J14" s="586"/>
      <c r="K14" s="510"/>
    </row>
    <row r="15" spans="1:12">
      <c r="A15" s="596" t="s">
        <v>7</v>
      </c>
      <c r="B15" s="614" t="s">
        <v>1076</v>
      </c>
      <c r="C15" s="614"/>
      <c r="D15" s="615">
        <v>0</v>
      </c>
      <c r="E15" s="616">
        <v>0</v>
      </c>
      <c r="F15" s="1116">
        <v>-307909</v>
      </c>
      <c r="G15" s="618">
        <v>-44554</v>
      </c>
      <c r="H15" s="613">
        <f>+F15+G15</f>
        <v>-352463</v>
      </c>
      <c r="I15" s="586"/>
      <c r="J15" s="586"/>
      <c r="K15" s="510"/>
    </row>
    <row r="16" spans="1:12">
      <c r="A16" s="596" t="s">
        <v>8</v>
      </c>
      <c r="B16" s="614"/>
      <c r="C16" s="614"/>
      <c r="D16" s="615">
        <v>0</v>
      </c>
      <c r="E16" s="616">
        <v>0</v>
      </c>
      <c r="F16" s="617">
        <f t="shared" ref="F16:F19" si="0">D16-E16</f>
        <v>0</v>
      </c>
      <c r="G16" s="618">
        <v>0</v>
      </c>
      <c r="H16" s="619">
        <f t="shared" ref="H16:H19" si="1">+F16+G16</f>
        <v>0</v>
      </c>
      <c r="I16" s="586"/>
      <c r="J16" s="586"/>
      <c r="K16" s="510"/>
    </row>
    <row r="17" spans="1:11">
      <c r="A17" s="596" t="s">
        <v>702</v>
      </c>
      <c r="B17" s="614"/>
      <c r="C17" s="614"/>
      <c r="D17" s="615">
        <v>0</v>
      </c>
      <c r="E17" s="616">
        <v>0</v>
      </c>
      <c r="F17" s="617">
        <f t="shared" si="0"/>
        <v>0</v>
      </c>
      <c r="G17" s="618">
        <v>0</v>
      </c>
      <c r="H17" s="619">
        <f t="shared" si="1"/>
        <v>0</v>
      </c>
      <c r="I17" s="586"/>
      <c r="J17" s="586"/>
      <c r="K17" s="510"/>
    </row>
    <row r="18" spans="1:11">
      <c r="A18" s="596" t="s">
        <v>703</v>
      </c>
      <c r="B18" s="614"/>
      <c r="C18" s="614"/>
      <c r="D18" s="615">
        <v>0</v>
      </c>
      <c r="E18" s="616">
        <v>0</v>
      </c>
      <c r="F18" s="617">
        <f t="shared" si="0"/>
        <v>0</v>
      </c>
      <c r="G18" s="618">
        <v>0</v>
      </c>
      <c r="H18" s="619">
        <f t="shared" si="1"/>
        <v>0</v>
      </c>
      <c r="I18" s="586"/>
      <c r="J18" s="586"/>
      <c r="K18" s="510"/>
    </row>
    <row r="19" spans="1:11">
      <c r="A19" s="596"/>
      <c r="B19" s="620"/>
      <c r="C19" s="620"/>
      <c r="D19" s="621">
        <v>0</v>
      </c>
      <c r="E19" s="622">
        <v>0</v>
      </c>
      <c r="F19" s="623">
        <f t="shared" si="0"/>
        <v>0</v>
      </c>
      <c r="G19" s="624">
        <v>0</v>
      </c>
      <c r="H19" s="625">
        <f t="shared" si="1"/>
        <v>0</v>
      </c>
      <c r="I19" s="586"/>
      <c r="J19" s="586"/>
      <c r="K19" s="510"/>
    </row>
    <row r="20" spans="1:11">
      <c r="A20" s="596"/>
      <c r="B20" s="590"/>
      <c r="C20" s="626"/>
      <c r="D20" s="626"/>
      <c r="E20" s="626"/>
      <c r="F20" s="626"/>
      <c r="G20" s="626"/>
      <c r="H20" s="627"/>
      <c r="I20" s="586"/>
      <c r="J20" s="626"/>
      <c r="K20" s="510"/>
    </row>
    <row r="21" spans="1:11">
      <c r="A21" s="596">
        <v>3</v>
      </c>
      <c r="B21" s="628" t="s">
        <v>57</v>
      </c>
      <c r="C21" s="626"/>
      <c r="D21" s="629">
        <f>SUM(D14:D19)</f>
        <v>91286976.867075801</v>
      </c>
      <c r="E21" s="629">
        <f t="shared" ref="E21" si="2">SUM(E14:E19)</f>
        <v>83876147</v>
      </c>
      <c r="F21" s="629">
        <f>SUM(F14:F19)</f>
        <v>7102920.8670758009</v>
      </c>
      <c r="G21" s="629">
        <f>SUM(G14:G19)</f>
        <v>1048014.0604031752</v>
      </c>
      <c r="H21" s="629">
        <f>SUM(H14:H19)</f>
        <v>8150934.9274789765</v>
      </c>
      <c r="I21" s="586"/>
      <c r="J21" s="626"/>
      <c r="K21" s="510"/>
    </row>
    <row r="22" spans="1:11">
      <c r="A22" s="596"/>
      <c r="B22" s="590"/>
      <c r="C22" s="626"/>
      <c r="D22" s="626"/>
      <c r="E22" s="626"/>
      <c r="F22" s="626"/>
      <c r="G22" s="626"/>
      <c r="H22" s="626"/>
      <c r="I22" s="627"/>
      <c r="J22" s="626"/>
      <c r="K22" s="510"/>
    </row>
    <row r="23" spans="1:11">
      <c r="A23" s="628"/>
      <c r="B23" s="590"/>
      <c r="C23" s="626"/>
      <c r="D23" s="626"/>
      <c r="E23" s="626"/>
      <c r="F23" s="626"/>
      <c r="G23" s="626"/>
      <c r="H23" s="626"/>
      <c r="I23" s="627"/>
      <c r="J23" s="626"/>
      <c r="K23" s="510"/>
    </row>
    <row r="24" spans="1:11">
      <c r="A24" s="628"/>
      <c r="B24" s="630" t="s">
        <v>570</v>
      </c>
      <c r="C24" s="510"/>
      <c r="D24" s="510"/>
      <c r="E24" s="510"/>
      <c r="F24" s="631"/>
      <c r="G24" s="631"/>
      <c r="H24" s="510"/>
      <c r="I24" s="632"/>
      <c r="J24" s="633"/>
      <c r="K24" s="510"/>
    </row>
    <row r="25" spans="1:11">
      <c r="A25" s="628"/>
      <c r="B25" s="510" t="s">
        <v>704</v>
      </c>
      <c r="C25" s="510"/>
      <c r="D25" s="510"/>
      <c r="E25" s="510"/>
      <c r="F25" s="510"/>
      <c r="G25" s="510"/>
      <c r="H25" s="510"/>
      <c r="I25" s="590"/>
      <c r="J25" s="590"/>
      <c r="K25" s="510"/>
    </row>
    <row r="26" spans="1:11">
      <c r="A26" s="628"/>
      <c r="B26" s="510" t="s">
        <v>705</v>
      </c>
      <c r="C26" s="510"/>
      <c r="D26" s="510"/>
      <c r="E26" s="510"/>
      <c r="F26" s="510"/>
      <c r="G26" s="510"/>
      <c r="H26" s="510"/>
      <c r="I26" s="590"/>
      <c r="J26" s="590"/>
      <c r="K26" s="510"/>
    </row>
    <row r="27" spans="1:11">
      <c r="A27" s="628"/>
      <c r="B27" s="510" t="s">
        <v>706</v>
      </c>
      <c r="C27" s="510"/>
      <c r="D27" s="510"/>
      <c r="E27" s="510"/>
      <c r="F27" s="510"/>
      <c r="G27" s="510"/>
      <c r="H27" s="510"/>
      <c r="I27" s="590"/>
      <c r="J27" s="590"/>
      <c r="K27" s="510"/>
    </row>
    <row r="28" spans="1:11">
      <c r="A28" s="628"/>
      <c r="B28" s="634" t="s">
        <v>707</v>
      </c>
      <c r="C28" s="510"/>
      <c r="D28" s="510"/>
      <c r="E28" s="510"/>
      <c r="F28" s="510"/>
      <c r="G28" s="510"/>
      <c r="H28" s="510"/>
      <c r="I28" s="590"/>
      <c r="J28" s="590"/>
      <c r="K28" s="510"/>
    </row>
    <row r="29" spans="1:11">
      <c r="A29" s="628"/>
      <c r="B29" s="634" t="s">
        <v>708</v>
      </c>
      <c r="C29" s="510"/>
      <c r="D29" s="510"/>
      <c r="E29" s="510"/>
      <c r="F29" s="510"/>
      <c r="G29" s="510"/>
      <c r="H29" s="510"/>
      <c r="I29" s="590"/>
      <c r="J29" s="590"/>
      <c r="K29" s="510"/>
    </row>
    <row r="30" spans="1:11">
      <c r="A30" s="628"/>
      <c r="B30" s="634" t="s">
        <v>709</v>
      </c>
      <c r="C30" s="510"/>
      <c r="D30" s="510"/>
      <c r="E30" s="510"/>
      <c r="F30" s="510"/>
      <c r="G30" s="510"/>
      <c r="H30" s="510"/>
      <c r="I30" s="590"/>
      <c r="J30" s="590"/>
      <c r="K30" s="510"/>
    </row>
    <row r="31" spans="1:11">
      <c r="A31" s="635"/>
      <c r="B31" s="636"/>
      <c r="C31" s="636"/>
      <c r="D31" s="636"/>
      <c r="E31" s="636"/>
      <c r="F31" s="636"/>
      <c r="G31" s="636"/>
      <c r="H31" s="636"/>
      <c r="I31" s="636"/>
      <c r="J31" s="636"/>
      <c r="K31" s="510"/>
    </row>
    <row r="32" spans="1:11">
      <c r="A32" s="510"/>
      <c r="B32" s="637" t="s">
        <v>710</v>
      </c>
      <c r="C32" s="586"/>
      <c r="D32" s="586"/>
      <c r="E32" s="586"/>
      <c r="F32" s="586"/>
      <c r="G32" s="510"/>
      <c r="H32" s="510"/>
      <c r="I32" s="510"/>
      <c r="J32" s="510"/>
      <c r="K32" s="510"/>
    </row>
    <row r="33" spans="1:11">
      <c r="A33" s="586"/>
      <c r="B33" s="586"/>
      <c r="C33" s="586"/>
      <c r="D33" s="586"/>
      <c r="E33" s="586"/>
      <c r="F33" s="586"/>
      <c r="G33" s="510"/>
      <c r="H33" s="510"/>
      <c r="I33" s="510"/>
      <c r="J33" s="510"/>
      <c r="K33" s="510"/>
    </row>
    <row r="34" spans="1:11">
      <c r="A34" s="586"/>
      <c r="B34" s="638" t="s">
        <v>188</v>
      </c>
      <c r="C34" s="638" t="s">
        <v>523</v>
      </c>
      <c r="D34" s="638" t="s">
        <v>524</v>
      </c>
      <c r="E34" s="638" t="s">
        <v>525</v>
      </c>
      <c r="F34" s="586"/>
      <c r="G34" s="510"/>
      <c r="H34" s="510"/>
      <c r="I34" s="510"/>
      <c r="J34" s="510"/>
      <c r="K34" s="510"/>
    </row>
    <row r="35" spans="1:11" ht="31.5">
      <c r="A35" s="639">
        <v>4</v>
      </c>
      <c r="B35" s="640" t="s">
        <v>711</v>
      </c>
      <c r="C35" s="595" t="s">
        <v>712</v>
      </c>
      <c r="D35" s="595" t="s">
        <v>306</v>
      </c>
      <c r="E35" s="641" t="s">
        <v>713</v>
      </c>
      <c r="F35" s="586"/>
      <c r="G35" s="510"/>
      <c r="H35" s="510"/>
      <c r="I35" s="510"/>
      <c r="J35" s="510"/>
      <c r="K35" s="510"/>
    </row>
    <row r="36" spans="1:11">
      <c r="A36" s="639">
        <v>5</v>
      </c>
      <c r="B36" s="586"/>
      <c r="C36" s="640" t="s">
        <v>714</v>
      </c>
      <c r="D36" s="642">
        <v>2025</v>
      </c>
      <c r="E36" s="643">
        <v>6.7000000000000002E-3</v>
      </c>
      <c r="F36" s="644"/>
      <c r="G36" s="510"/>
      <c r="H36" s="510"/>
      <c r="I36" s="510"/>
      <c r="J36" s="510"/>
      <c r="K36" s="510"/>
    </row>
    <row r="37" spans="1:11">
      <c r="A37" s="639">
        <v>6</v>
      </c>
      <c r="B37" s="586"/>
      <c r="C37" s="640" t="s">
        <v>715</v>
      </c>
      <c r="D37" s="642">
        <f>+D36</f>
        <v>2025</v>
      </c>
      <c r="E37" s="643">
        <v>6.3E-3</v>
      </c>
      <c r="F37" s="644"/>
      <c r="G37" s="510"/>
      <c r="H37" s="510"/>
      <c r="I37" s="510"/>
      <c r="J37" s="510"/>
      <c r="K37" s="510"/>
    </row>
    <row r="38" spans="1:11">
      <c r="A38" s="639">
        <v>7</v>
      </c>
      <c r="B38" s="586"/>
      <c r="C38" s="640" t="s">
        <v>716</v>
      </c>
      <c r="D38" s="642">
        <f>+D37</f>
        <v>2025</v>
      </c>
      <c r="E38" s="643">
        <v>6.3E-3</v>
      </c>
      <c r="F38" s="644"/>
      <c r="G38" s="510"/>
      <c r="H38" s="510"/>
      <c r="I38" s="510"/>
      <c r="J38" s="510"/>
      <c r="K38" s="510"/>
    </row>
    <row r="39" spans="1:11">
      <c r="A39" s="639">
        <v>8</v>
      </c>
      <c r="B39" s="586"/>
      <c r="C39" s="640" t="s">
        <v>717</v>
      </c>
      <c r="D39" s="642">
        <f>+D38</f>
        <v>2025</v>
      </c>
      <c r="E39" s="643">
        <v>6.3E-3</v>
      </c>
      <c r="F39" s="644"/>
      <c r="G39" s="510"/>
      <c r="H39" s="510"/>
      <c r="I39" s="510"/>
      <c r="J39" s="510"/>
      <c r="K39" s="510"/>
    </row>
    <row r="40" spans="1:11">
      <c r="A40" s="639">
        <v>9</v>
      </c>
      <c r="B40" s="586"/>
      <c r="C40" s="640" t="s">
        <v>718</v>
      </c>
      <c r="D40" s="642">
        <f>+D39+1</f>
        <v>2026</v>
      </c>
      <c r="E40" s="643">
        <v>6.0000000000000001E-3</v>
      </c>
      <c r="F40" s="644"/>
      <c r="G40" s="510"/>
      <c r="H40" s="510"/>
      <c r="I40" s="510"/>
      <c r="J40" s="510"/>
      <c r="K40" s="510"/>
    </row>
    <row r="41" spans="1:11">
      <c r="A41" s="639">
        <v>10</v>
      </c>
      <c r="B41" s="586"/>
      <c r="C41" s="640" t="s">
        <v>715</v>
      </c>
      <c r="D41" s="642">
        <f>+D40</f>
        <v>2026</v>
      </c>
      <c r="E41" s="643">
        <v>5.7000000000000002E-3</v>
      </c>
      <c r="F41" s="644"/>
      <c r="G41" s="510"/>
      <c r="H41" s="510"/>
      <c r="I41" s="510"/>
      <c r="J41" s="510"/>
      <c r="K41" s="510"/>
    </row>
    <row r="42" spans="1:11">
      <c r="A42" s="639">
        <v>11</v>
      </c>
      <c r="B42" s="586"/>
      <c r="C42" s="640" t="s">
        <v>716</v>
      </c>
      <c r="D42" s="642">
        <f>+D41</f>
        <v>2026</v>
      </c>
      <c r="E42" s="643">
        <v>5.7000000000000002E-3</v>
      </c>
      <c r="F42" s="644"/>
      <c r="G42" s="510"/>
      <c r="H42" s="510"/>
      <c r="I42" s="510"/>
      <c r="J42" s="510"/>
      <c r="K42" s="510"/>
    </row>
    <row r="43" spans="1:11">
      <c r="A43" s="639">
        <v>12</v>
      </c>
      <c r="B43" s="586"/>
      <c r="C43" s="586" t="s">
        <v>719</v>
      </c>
      <c r="D43" s="644"/>
      <c r="E43" s="645">
        <f>SUM(E36:E42)</f>
        <v>4.2999999999999997E-2</v>
      </c>
      <c r="F43" s="644"/>
      <c r="G43" s="510"/>
      <c r="H43" s="510"/>
      <c r="I43" s="510"/>
      <c r="J43" s="510"/>
      <c r="K43" s="510"/>
    </row>
    <row r="44" spans="1:11">
      <c r="A44" s="639"/>
      <c r="B44" s="586"/>
      <c r="C44" s="640"/>
      <c r="D44" s="646"/>
      <c r="E44" s="646"/>
      <c r="F44" s="644"/>
      <c r="G44" s="510"/>
      <c r="H44" s="510"/>
      <c r="I44" s="510"/>
      <c r="J44" s="510"/>
      <c r="K44" s="510"/>
    </row>
    <row r="45" spans="1:11">
      <c r="A45" s="639">
        <v>13</v>
      </c>
      <c r="B45" s="647" t="s">
        <v>720</v>
      </c>
      <c r="C45" s="586" t="s">
        <v>721</v>
      </c>
      <c r="D45" s="646"/>
      <c r="E45" s="648">
        <f>E43/7</f>
        <v>6.1428571428571426E-3</v>
      </c>
      <c r="F45" s="644"/>
      <c r="G45" s="510"/>
      <c r="H45" s="510"/>
      <c r="I45" s="510"/>
      <c r="J45" s="510"/>
      <c r="K45" s="510"/>
    </row>
    <row r="46" spans="1:11">
      <c r="A46" s="649"/>
      <c r="B46" s="510"/>
      <c r="C46" s="510"/>
      <c r="D46" s="510"/>
      <c r="E46" s="510"/>
      <c r="F46" s="510"/>
      <c r="G46" s="510"/>
      <c r="H46" s="510"/>
      <c r="I46" s="510"/>
      <c r="J46" s="510"/>
      <c r="K46" s="510"/>
    </row>
    <row r="47" spans="1:11">
      <c r="A47" s="649"/>
      <c r="B47" s="510"/>
      <c r="C47" s="510"/>
      <c r="D47" s="510"/>
      <c r="E47" s="510"/>
      <c r="F47" s="510"/>
      <c r="G47" s="510"/>
      <c r="H47" s="510"/>
      <c r="I47" s="510"/>
      <c r="J47" s="510"/>
      <c r="K47" s="510"/>
    </row>
    <row r="48" spans="1:11">
      <c r="A48" s="649"/>
      <c r="B48" s="510"/>
      <c r="C48" s="510"/>
      <c r="D48" s="510"/>
      <c r="E48" s="510"/>
      <c r="F48" s="510"/>
      <c r="G48" s="510"/>
      <c r="H48" s="510"/>
      <c r="I48" s="510"/>
      <c r="J48" s="510"/>
      <c r="K48" s="510"/>
    </row>
    <row r="49" spans="1:11">
      <c r="A49" s="649"/>
      <c r="B49" s="510"/>
      <c r="C49" s="510"/>
      <c r="D49" s="510"/>
      <c r="E49" s="510"/>
      <c r="F49" s="510"/>
      <c r="G49" s="510"/>
      <c r="H49" s="510"/>
      <c r="I49" s="510"/>
      <c r="J49" s="510"/>
      <c r="K49" s="510"/>
    </row>
    <row r="50" spans="1:11">
      <c r="A50" s="649"/>
      <c r="B50" s="510"/>
      <c r="C50" s="510"/>
      <c r="D50" s="510"/>
      <c r="E50" s="510"/>
      <c r="F50" s="510"/>
      <c r="G50" s="510"/>
      <c r="H50" s="510"/>
      <c r="I50" s="510"/>
      <c r="J50" s="510"/>
      <c r="K50" s="510"/>
    </row>
    <row r="51" spans="1:11">
      <c r="A51" s="649"/>
      <c r="B51" s="510"/>
      <c r="C51" s="510"/>
      <c r="D51" s="510"/>
      <c r="E51" s="510"/>
      <c r="F51" s="510"/>
      <c r="G51" s="510"/>
      <c r="H51" s="510"/>
      <c r="I51" s="510"/>
      <c r="J51" s="510"/>
      <c r="K51" s="510"/>
    </row>
    <row r="52" spans="1:11">
      <c r="A52" s="649"/>
      <c r="B52" s="510"/>
      <c r="C52" s="510"/>
      <c r="D52" s="510"/>
      <c r="E52" s="510"/>
      <c r="F52" s="510"/>
      <c r="G52" s="510"/>
      <c r="H52" s="510"/>
      <c r="I52" s="510"/>
      <c r="J52" s="510"/>
      <c r="K52" s="510"/>
    </row>
  </sheetData>
  <mergeCells count="4">
    <mergeCell ref="B1:L1"/>
    <mergeCell ref="A2:J2"/>
    <mergeCell ref="B3:L3"/>
    <mergeCell ref="F7:H7"/>
  </mergeCells>
  <pageMargins left="0.7" right="0.7" top="0.75" bottom="0.75" header="0.3" footer="0.3"/>
  <pageSetup scale="70" orientation="landscape"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16588-2A50-4014-94AC-2DDBDC80C48F}">
  <sheetPr>
    <tabColor rgb="FFFF0000"/>
    <pageSetUpPr fitToPage="1"/>
  </sheetPr>
  <dimension ref="A1:T156"/>
  <sheetViews>
    <sheetView view="pageBreakPreview" zoomScale="90" zoomScaleNormal="100" zoomScaleSheetLayoutView="90" workbookViewId="0">
      <selection sqref="A1:I1"/>
    </sheetView>
  </sheetViews>
  <sheetFormatPr defaultColWidth="8.77734375" defaultRowHeight="15.75"/>
  <cols>
    <col min="1" max="1" width="5.44140625" style="518" customWidth="1"/>
    <col min="2" max="2" width="28" style="511" customWidth="1"/>
    <col min="3" max="3" width="10.44140625" style="518" bestFit="1" customWidth="1"/>
    <col min="4" max="4" width="9.77734375" style="518" bestFit="1" customWidth="1"/>
    <col min="5" max="5" width="16.109375" style="518" customWidth="1"/>
    <col min="6" max="6" width="12" style="518" customWidth="1"/>
    <col min="7" max="7" width="11.77734375" style="518" customWidth="1"/>
    <col min="8" max="8" width="12" style="650" customWidth="1"/>
    <col min="9" max="9" width="32" style="650" customWidth="1"/>
    <col min="10" max="10" width="8.77734375" style="650"/>
    <col min="11" max="11" width="12" style="650" customWidth="1"/>
    <col min="12" max="12" width="12.77734375" style="650" customWidth="1"/>
    <col min="13" max="16384" width="8.77734375" style="650"/>
  </cols>
  <sheetData>
    <row r="1" spans="1:20" ht="18" customHeight="1">
      <c r="A1" s="1063" t="s">
        <v>722</v>
      </c>
      <c r="B1" s="1063"/>
      <c r="C1" s="1063"/>
      <c r="D1" s="1063"/>
      <c r="E1" s="1063"/>
      <c r="F1" s="1063"/>
      <c r="G1" s="1063"/>
      <c r="H1" s="1063"/>
      <c r="I1" s="1063"/>
      <c r="J1" s="518"/>
      <c r="K1" s="518"/>
      <c r="L1" s="518"/>
    </row>
    <row r="2" spans="1:20" ht="18" customHeight="1">
      <c r="A2" s="1064" t="str">
        <f>+'Appendix III'!E7</f>
        <v>GridLiance West LLC (GLW)</v>
      </c>
      <c r="B2" s="1064"/>
      <c r="C2" s="1064"/>
      <c r="D2" s="1064"/>
      <c r="E2" s="1064"/>
      <c r="F2" s="1064"/>
      <c r="G2" s="1064"/>
      <c r="H2" s="1064"/>
      <c r="I2" s="1064"/>
      <c r="J2" s="534"/>
      <c r="K2" s="534"/>
      <c r="L2" s="534"/>
    </row>
    <row r="3" spans="1:20" ht="18" customHeight="1">
      <c r="A3" s="1063" t="str">
        <f>"Projection for the 12 Months Ended "&amp; TEXT('Appendix III'!$N$7,"mm/dd/yyyy")</f>
        <v>Projection for the 12 Months Ended 12/31/2027</v>
      </c>
      <c r="B3" s="1063"/>
      <c r="C3" s="1063"/>
      <c r="D3" s="1063"/>
      <c r="E3" s="1063"/>
      <c r="F3" s="1063"/>
      <c r="G3" s="1063"/>
      <c r="H3" s="1083"/>
      <c r="I3" s="1063"/>
      <c r="J3" s="518"/>
      <c r="K3" s="518"/>
      <c r="L3" s="518"/>
    </row>
    <row r="4" spans="1:20" ht="18" customHeight="1">
      <c r="A4" s="526"/>
      <c r="B4" s="526"/>
      <c r="C4" s="526"/>
      <c r="D4" s="526"/>
      <c r="E4" s="526"/>
      <c r="F4" s="526"/>
      <c r="G4" s="526"/>
      <c r="H4" s="526"/>
      <c r="I4" s="526"/>
      <c r="J4" s="518"/>
      <c r="K4" s="518"/>
      <c r="L4" s="518"/>
    </row>
    <row r="5" spans="1:20" ht="18">
      <c r="B5" s="526" t="s">
        <v>203</v>
      </c>
      <c r="C5" s="526"/>
      <c r="D5" s="651"/>
      <c r="E5" s="651" t="s">
        <v>205</v>
      </c>
      <c r="F5" s="651" t="s">
        <v>207</v>
      </c>
      <c r="G5" s="651" t="s">
        <v>209</v>
      </c>
      <c r="H5" s="651" t="s">
        <v>212</v>
      </c>
      <c r="I5" s="652"/>
    </row>
    <row r="6" spans="1:20">
      <c r="B6" s="650"/>
      <c r="C6" s="650"/>
      <c r="D6" s="650"/>
      <c r="E6" s="650"/>
      <c r="F6" s="650"/>
      <c r="G6" s="650"/>
      <c r="H6" s="651" t="s">
        <v>723</v>
      </c>
      <c r="I6" s="518"/>
      <c r="T6" s="651"/>
    </row>
    <row r="7" spans="1:20">
      <c r="A7" s="653" t="s">
        <v>724</v>
      </c>
      <c r="B7" s="653" t="s">
        <v>725</v>
      </c>
      <c r="C7" s="654"/>
      <c r="D7" s="655"/>
      <c r="E7" s="656" t="s">
        <v>380</v>
      </c>
      <c r="F7" s="656" t="s">
        <v>726</v>
      </c>
      <c r="G7" s="656" t="s">
        <v>727</v>
      </c>
      <c r="H7" s="656" t="s">
        <v>57</v>
      </c>
      <c r="I7" s="654"/>
      <c r="T7" s="651"/>
    </row>
    <row r="8" spans="1:20">
      <c r="B8" s="657"/>
      <c r="D8" s="650"/>
      <c r="H8" s="518"/>
      <c r="I8" s="518"/>
      <c r="L8" s="658"/>
    </row>
    <row r="9" spans="1:20" ht="20.25" customHeight="1">
      <c r="A9" s="518">
        <v>1</v>
      </c>
      <c r="B9" s="518" t="s">
        <v>728</v>
      </c>
      <c r="D9" s="650"/>
      <c r="E9" s="42">
        <f>F25</f>
        <v>3798475.9577063923</v>
      </c>
      <c r="F9" s="42">
        <f>G25</f>
        <v>0</v>
      </c>
      <c r="G9" s="42">
        <f>H25</f>
        <v>0</v>
      </c>
      <c r="H9" s="42"/>
      <c r="I9" s="518" t="s">
        <v>729</v>
      </c>
    </row>
    <row r="10" spans="1:20" ht="20.25" customHeight="1">
      <c r="A10" s="518">
        <f t="shared" ref="A10:A16" si="0">+A9+1</f>
        <v>2</v>
      </c>
      <c r="B10" s="518" t="s">
        <v>730</v>
      </c>
      <c r="D10" s="650"/>
      <c r="E10" s="42">
        <f>F31</f>
        <v>614274.67808219185</v>
      </c>
      <c r="F10" s="42">
        <f>G31</f>
        <v>0</v>
      </c>
      <c r="G10" s="42">
        <f>H31</f>
        <v>0</v>
      </c>
      <c r="H10" s="42"/>
      <c r="I10" s="518" t="s">
        <v>731</v>
      </c>
    </row>
    <row r="11" spans="1:20" ht="20.25" customHeight="1">
      <c r="A11" s="518">
        <f t="shared" si="0"/>
        <v>3</v>
      </c>
      <c r="B11" s="518" t="s">
        <v>732</v>
      </c>
      <c r="D11" s="650"/>
      <c r="E11" s="42">
        <f>F37</f>
        <v>-74528.302054794534</v>
      </c>
      <c r="F11" s="42">
        <f>G38</f>
        <v>0</v>
      </c>
      <c r="G11" s="42">
        <f>H38</f>
        <v>0</v>
      </c>
      <c r="H11" s="42"/>
      <c r="I11" s="518" t="s">
        <v>733</v>
      </c>
    </row>
    <row r="12" spans="1:20" ht="20.25" customHeight="1">
      <c r="A12" s="518">
        <f t="shared" si="0"/>
        <v>4</v>
      </c>
      <c r="B12" s="518" t="s">
        <v>734</v>
      </c>
      <c r="D12" s="650"/>
      <c r="E12" s="42">
        <f>SUM(E9:E11)</f>
        <v>4338222.3337337896</v>
      </c>
      <c r="F12" s="42">
        <f>SUM(F9:F11)</f>
        <v>0</v>
      </c>
      <c r="G12" s="42">
        <f>SUM(G9:G11)</f>
        <v>0</v>
      </c>
      <c r="H12" s="42"/>
      <c r="I12" s="659" t="s">
        <v>735</v>
      </c>
    </row>
    <row r="13" spans="1:20" ht="20.25" customHeight="1">
      <c r="A13" s="518">
        <f t="shared" si="0"/>
        <v>5</v>
      </c>
      <c r="B13" s="518" t="s">
        <v>736</v>
      </c>
      <c r="D13" s="650"/>
      <c r="G13" s="230">
        <f>+'Appendix III'!J174</f>
        <v>1</v>
      </c>
      <c r="H13" s="518"/>
      <c r="I13" s="518" t="s">
        <v>737</v>
      </c>
    </row>
    <row r="14" spans="1:20" ht="20.25" customHeight="1">
      <c r="A14" s="518">
        <f t="shared" si="0"/>
        <v>6</v>
      </c>
      <c r="B14" s="518" t="s">
        <v>738</v>
      </c>
      <c r="D14" s="650"/>
      <c r="F14" s="660">
        <f>+'Appendix III'!H52</f>
        <v>1</v>
      </c>
      <c r="H14" s="518"/>
      <c r="I14" s="518" t="s">
        <v>739</v>
      </c>
    </row>
    <row r="15" spans="1:20" ht="20.25" customHeight="1">
      <c r="A15" s="518">
        <f t="shared" si="0"/>
        <v>7</v>
      </c>
      <c r="B15" s="518" t="s">
        <v>740</v>
      </c>
      <c r="D15" s="650"/>
      <c r="E15" s="660">
        <v>1</v>
      </c>
      <c r="F15" s="660"/>
      <c r="H15" s="518"/>
      <c r="I15" s="661">
        <v>1</v>
      </c>
    </row>
    <row r="16" spans="1:20" ht="20.25" customHeight="1">
      <c r="A16" s="518">
        <f t="shared" si="0"/>
        <v>8</v>
      </c>
      <c r="B16" s="518" t="s">
        <v>741</v>
      </c>
      <c r="D16" s="650"/>
      <c r="E16" s="42">
        <f>+E15*E12</f>
        <v>4338222.3337337896</v>
      </c>
      <c r="F16" s="42">
        <f>+F14*F12</f>
        <v>0</v>
      </c>
      <c r="G16" s="42">
        <f>+G13*G12</f>
        <v>0</v>
      </c>
      <c r="H16" s="42">
        <f>+E16+F16+G16</f>
        <v>4338222.3337337896</v>
      </c>
      <c r="I16" s="662" t="s">
        <v>742</v>
      </c>
    </row>
    <row r="17" spans="1:17">
      <c r="B17" s="518"/>
      <c r="D17" s="650"/>
      <c r="E17" s="42"/>
      <c r="F17" s="42"/>
      <c r="G17" s="42"/>
      <c r="H17" s="42"/>
      <c r="I17" s="662"/>
    </row>
    <row r="18" spans="1:17">
      <c r="B18" s="518"/>
      <c r="D18" s="659"/>
      <c r="G18" s="42"/>
      <c r="I18" s="651"/>
    </row>
    <row r="19" spans="1:17">
      <c r="B19" s="526" t="s">
        <v>188</v>
      </c>
      <c r="C19" s="526" t="s">
        <v>523</v>
      </c>
      <c r="D19" s="526" t="s">
        <v>524</v>
      </c>
      <c r="E19" s="526" t="s">
        <v>525</v>
      </c>
      <c r="F19" s="526" t="s">
        <v>526</v>
      </c>
      <c r="G19" s="651" t="s">
        <v>527</v>
      </c>
      <c r="H19" s="651" t="s">
        <v>528</v>
      </c>
      <c r="I19" s="651"/>
    </row>
    <row r="20" spans="1:17" ht="31.5">
      <c r="A20" s="663"/>
      <c r="B20" s="664" t="s">
        <v>743</v>
      </c>
      <c r="C20" s="664" t="s">
        <v>744</v>
      </c>
      <c r="D20" s="664" t="s">
        <v>306</v>
      </c>
      <c r="E20" s="664" t="s">
        <v>745</v>
      </c>
      <c r="F20" s="664" t="s">
        <v>380</v>
      </c>
      <c r="G20" s="664" t="s">
        <v>726</v>
      </c>
      <c r="H20" s="664" t="s">
        <v>727</v>
      </c>
      <c r="I20" s="664"/>
      <c r="Q20" s="651"/>
    </row>
    <row r="21" spans="1:17">
      <c r="A21" s="518" t="s">
        <v>746</v>
      </c>
      <c r="D21" s="526"/>
      <c r="E21" s="526"/>
      <c r="F21" s="526"/>
      <c r="G21" s="650"/>
      <c r="Q21" s="651"/>
    </row>
    <row r="22" spans="1:17" ht="20.25" customHeight="1">
      <c r="A22" s="657">
        <f>A16+1</f>
        <v>9</v>
      </c>
      <c r="B22" s="511" t="s">
        <v>747</v>
      </c>
      <c r="C22" s="518" t="s">
        <v>308</v>
      </c>
      <c r="D22" s="665">
        <f>YEAR(EDATE('Appendix III'!$N$7,-12))</f>
        <v>2026</v>
      </c>
      <c r="E22" s="42">
        <f>'6c- ADIT BOY'!C54</f>
        <v>3494991</v>
      </c>
      <c r="F22" s="42">
        <f>'6c- ADIT BOY'!E54</f>
        <v>3494991</v>
      </c>
      <c r="G22" s="42">
        <f>'6c- ADIT BOY'!F54</f>
        <v>0</v>
      </c>
      <c r="H22" s="42">
        <f>'6c- ADIT BOY'!G54</f>
        <v>0</v>
      </c>
      <c r="I22" s="666"/>
    </row>
    <row r="23" spans="1:17" ht="20.25" customHeight="1">
      <c r="A23" s="657">
        <f>A22+1</f>
        <v>10</v>
      </c>
      <c r="B23" s="511" t="s">
        <v>748</v>
      </c>
      <c r="C23" s="518" t="s">
        <v>308</v>
      </c>
      <c r="D23" s="665">
        <f>YEAR('Appendix III'!$N$7)</f>
        <v>2027</v>
      </c>
      <c r="E23" s="42">
        <f>'6d- ADIT EOY'!C54-'6d- ADIT EOY'!C51</f>
        <v>0</v>
      </c>
      <c r="F23" s="42">
        <f>'6d- ADIT EOY'!E54-'6d- ADIT EOY'!E51</f>
        <v>0</v>
      </c>
      <c r="G23" s="42">
        <f>'6d- ADIT EOY'!F54-'6d- ADIT EOY'!F51</f>
        <v>0</v>
      </c>
      <c r="H23" s="42">
        <f>'6d- ADIT EOY'!G54-'6d- ADIT EOY'!G51</f>
        <v>0</v>
      </c>
      <c r="I23" s="666"/>
    </row>
    <row r="24" spans="1:17" ht="20.25" customHeight="1">
      <c r="A24" s="657">
        <f t="shared" ref="A24:A25" si="1">A23+1</f>
        <v>11</v>
      </c>
      <c r="B24" s="511" t="s">
        <v>749</v>
      </c>
      <c r="C24" s="518" t="s">
        <v>308</v>
      </c>
      <c r="D24" s="665">
        <f>D23</f>
        <v>2027</v>
      </c>
      <c r="E24" s="42">
        <f>SUM(F24:H24)</f>
        <v>3798475.9577063923</v>
      </c>
      <c r="F24" s="42">
        <f>'6b-ADIT Projection Proration'!H22</f>
        <v>3798475.9577063923</v>
      </c>
      <c r="G24" s="42">
        <f>'6b-ADIT Projection Proration'!J22</f>
        <v>0</v>
      </c>
      <c r="H24" s="42">
        <f>'6b-ADIT Projection Proration'!L22</f>
        <v>0</v>
      </c>
      <c r="I24" s="666"/>
    </row>
    <row r="25" spans="1:17">
      <c r="A25" s="657">
        <f t="shared" si="1"/>
        <v>12</v>
      </c>
      <c r="B25" s="511" t="s">
        <v>750</v>
      </c>
      <c r="E25" s="530">
        <f>E23+E24</f>
        <v>3798475.9577063923</v>
      </c>
      <c r="F25" s="530">
        <f>F23+F24</f>
        <v>3798475.9577063923</v>
      </c>
      <c r="G25" s="530">
        <f t="shared" ref="G25:H25" si="2">G23+G24</f>
        <v>0</v>
      </c>
      <c r="H25" s="530">
        <f t="shared" si="2"/>
        <v>0</v>
      </c>
      <c r="I25" s="660"/>
    </row>
    <row r="26" spans="1:17">
      <c r="A26" s="657"/>
      <c r="G26" s="650"/>
    </row>
    <row r="27" spans="1:17" ht="20.25" customHeight="1">
      <c r="A27" s="518" t="s">
        <v>751</v>
      </c>
      <c r="G27" s="650"/>
    </row>
    <row r="28" spans="1:17" ht="20.25" customHeight="1">
      <c r="A28" s="657">
        <f>A25+1</f>
        <v>13</v>
      </c>
      <c r="B28" s="511" t="s">
        <v>752</v>
      </c>
      <c r="C28" s="518" t="s">
        <v>308</v>
      </c>
      <c r="D28" s="665">
        <f>D22</f>
        <v>2026</v>
      </c>
      <c r="E28" s="42">
        <f>'6c- ADIT BOY'!C78</f>
        <v>609091</v>
      </c>
      <c r="F28" s="42">
        <f>'6c- ADIT BOY'!E78</f>
        <v>609091</v>
      </c>
      <c r="G28" s="42">
        <f>'6c- ADIT BOY'!F78</f>
        <v>0</v>
      </c>
      <c r="H28" s="42">
        <f>'6c- ADIT BOY'!G78</f>
        <v>0</v>
      </c>
      <c r="I28" s="666"/>
    </row>
    <row r="29" spans="1:17" ht="20.25" customHeight="1">
      <c r="A29" s="657">
        <f>A28+1</f>
        <v>14</v>
      </c>
      <c r="B29" s="511" t="s">
        <v>753</v>
      </c>
      <c r="C29" s="518" t="s">
        <v>308</v>
      </c>
      <c r="D29" s="665">
        <f t="shared" ref="D29:D30" si="3">D23</f>
        <v>2027</v>
      </c>
      <c r="E29" s="42">
        <f>'6d- ADIT EOY'!C78-'6d- ADIT EOY'!C75</f>
        <v>0</v>
      </c>
      <c r="F29" s="42">
        <f>'6d- ADIT EOY'!E78-'6d- ADIT EOY'!E75</f>
        <v>0</v>
      </c>
      <c r="G29" s="42">
        <f>'6d- ADIT EOY'!F78-'6d- ADIT EOY'!F75</f>
        <v>0</v>
      </c>
      <c r="H29" s="42">
        <f>'6d- ADIT EOY'!G78-'6d- ADIT EOY'!G75</f>
        <v>0</v>
      </c>
      <c r="I29" s="666"/>
    </row>
    <row r="30" spans="1:17" ht="20.25" customHeight="1">
      <c r="A30" s="657">
        <f>A29+1</f>
        <v>15</v>
      </c>
      <c r="B30" s="511" t="s">
        <v>754</v>
      </c>
      <c r="C30" s="518" t="s">
        <v>308</v>
      </c>
      <c r="D30" s="665">
        <f t="shared" si="3"/>
        <v>2027</v>
      </c>
      <c r="E30" s="42">
        <f>SUM(F30:H30)</f>
        <v>614274.67808219185</v>
      </c>
      <c r="F30" s="42">
        <f>'6b-ADIT Projection Proration'!H38</f>
        <v>614274.67808219185</v>
      </c>
      <c r="G30" s="42">
        <f>'6b-ADIT Projection Proration'!J38</f>
        <v>0</v>
      </c>
      <c r="H30" s="42">
        <f>'6b-ADIT Projection Proration'!L38</f>
        <v>0</v>
      </c>
      <c r="I30" s="666"/>
    </row>
    <row r="31" spans="1:17" ht="20.25" customHeight="1">
      <c r="A31" s="657">
        <f>A30+1</f>
        <v>16</v>
      </c>
      <c r="B31" s="511" t="s">
        <v>755</v>
      </c>
      <c r="E31" s="530">
        <f>E29+E30</f>
        <v>614274.67808219185</v>
      </c>
      <c r="F31" s="530">
        <f t="shared" ref="F31:H31" si="4">F29+F30</f>
        <v>614274.67808219185</v>
      </c>
      <c r="G31" s="530">
        <f t="shared" si="4"/>
        <v>0</v>
      </c>
      <c r="H31" s="530">
        <f t="shared" si="4"/>
        <v>0</v>
      </c>
      <c r="I31" s="667"/>
    </row>
    <row r="32" spans="1:17">
      <c r="A32" s="657"/>
      <c r="G32" s="650"/>
    </row>
    <row r="33" spans="1:9">
      <c r="A33" s="518" t="s">
        <v>732</v>
      </c>
      <c r="G33" s="650"/>
    </row>
    <row r="34" spans="1:9" ht="20.25" customHeight="1">
      <c r="A34" s="657">
        <f>A31+1</f>
        <v>17</v>
      </c>
      <c r="B34" s="511" t="s">
        <v>756</v>
      </c>
      <c r="C34" s="518" t="s">
        <v>308</v>
      </c>
      <c r="D34" s="665">
        <f>D28</f>
        <v>2026</v>
      </c>
      <c r="E34" s="42">
        <f>'6c- ADIT BOY'!C32</f>
        <v>-70430</v>
      </c>
      <c r="F34" s="42">
        <f>'6c- ADIT BOY'!E32</f>
        <v>-70430</v>
      </c>
      <c r="G34" s="42">
        <f>'6c- ADIT BOY'!F32</f>
        <v>0</v>
      </c>
      <c r="H34" s="42">
        <f>'6c- ADIT BOY'!G32</f>
        <v>0</v>
      </c>
      <c r="I34" s="666"/>
    </row>
    <row r="35" spans="1:9" ht="20.25" customHeight="1">
      <c r="A35" s="657">
        <f>A34+1</f>
        <v>18</v>
      </c>
      <c r="B35" s="511" t="s">
        <v>757</v>
      </c>
      <c r="C35" s="518" t="s">
        <v>308</v>
      </c>
      <c r="D35" s="665">
        <f t="shared" ref="D35:D36" si="5">D29</f>
        <v>2027</v>
      </c>
      <c r="E35" s="42">
        <f>'6d- ADIT EOY'!C32-'6d- ADIT EOY'!C29</f>
        <v>0</v>
      </c>
      <c r="F35" s="42">
        <f>'6d- ADIT EOY'!E32-'6d- ADIT EOY'!E29</f>
        <v>0</v>
      </c>
      <c r="G35" s="42">
        <f>'6d- ADIT EOY'!F32-'6d- ADIT EOY'!F29</f>
        <v>0</v>
      </c>
      <c r="H35" s="42">
        <f>'6d- ADIT EOY'!G32-'6d- ADIT EOY'!G29</f>
        <v>0</v>
      </c>
      <c r="I35" s="666"/>
    </row>
    <row r="36" spans="1:9" ht="20.25" customHeight="1">
      <c r="A36" s="657">
        <f>A35+1</f>
        <v>19</v>
      </c>
      <c r="B36" s="511" t="s">
        <v>758</v>
      </c>
      <c r="C36" s="518" t="s">
        <v>308</v>
      </c>
      <c r="D36" s="665">
        <f t="shared" si="5"/>
        <v>2027</v>
      </c>
      <c r="E36" s="42">
        <f t="shared" ref="E36" si="6">SUM(F36:H36)</f>
        <v>-74528.302054794534</v>
      </c>
      <c r="F36" s="42">
        <f>'6b-ADIT Projection Proration'!H54</f>
        <v>-74528.302054794534</v>
      </c>
      <c r="G36" s="42">
        <f>'6b-ADIT Projection Proration'!J54</f>
        <v>0</v>
      </c>
      <c r="H36" s="42">
        <f>'6b-ADIT Projection Proration'!L54</f>
        <v>0</v>
      </c>
      <c r="I36" s="666"/>
    </row>
    <row r="37" spans="1:9" ht="20.25" customHeight="1">
      <c r="A37" s="657">
        <f>A36+1</f>
        <v>20</v>
      </c>
      <c r="B37" s="511" t="s">
        <v>759</v>
      </c>
      <c r="E37" s="530">
        <f>E35+E36</f>
        <v>-74528.302054794534</v>
      </c>
      <c r="F37" s="42">
        <f t="shared" ref="F37:H37" si="7">F35+F36</f>
        <v>-74528.302054794534</v>
      </c>
      <c r="G37" s="42">
        <f t="shared" si="7"/>
        <v>0</v>
      </c>
      <c r="H37" s="42">
        <f t="shared" si="7"/>
        <v>0</v>
      </c>
      <c r="I37" s="667"/>
    </row>
    <row r="38" spans="1:9">
      <c r="B38" s="518"/>
      <c r="G38" s="650"/>
    </row>
    <row r="39" spans="1:9">
      <c r="B39" s="518"/>
      <c r="G39" s="650"/>
    </row>
    <row r="40" spans="1:9">
      <c r="D40" s="487"/>
    </row>
    <row r="41" spans="1:9">
      <c r="D41" s="487"/>
    </row>
    <row r="42" spans="1:9">
      <c r="D42" s="487"/>
    </row>
    <row r="43" spans="1:9">
      <c r="D43" s="487"/>
    </row>
    <row r="44" spans="1:9">
      <c r="D44" s="487"/>
    </row>
    <row r="45" spans="1:9">
      <c r="D45" s="487"/>
    </row>
    <row r="46" spans="1:9">
      <c r="D46" s="487"/>
    </row>
    <row r="47" spans="1:9">
      <c r="D47" s="487"/>
    </row>
    <row r="48" spans="1:9">
      <c r="D48" s="487"/>
    </row>
    <row r="49" spans="2:10">
      <c r="D49" s="487"/>
    </row>
    <row r="50" spans="2:10">
      <c r="B50" s="518"/>
      <c r="D50" s="487"/>
    </row>
    <row r="51" spans="2:10">
      <c r="D51" s="487"/>
    </row>
    <row r="52" spans="2:10">
      <c r="B52" s="518"/>
      <c r="D52" s="487"/>
    </row>
    <row r="64" spans="2:10">
      <c r="J64" s="518"/>
    </row>
    <row r="156" spans="8:8">
      <c r="H156" s="668"/>
    </row>
  </sheetData>
  <mergeCells count="3">
    <mergeCell ref="A1:I1"/>
    <mergeCell ref="A2:I2"/>
    <mergeCell ref="A3:I3"/>
  </mergeCells>
  <pageMargins left="0.7" right="0.7" top="0.75" bottom="0.75" header="0.3" footer="0.3"/>
  <pageSetup scale="68" orientation="landscape"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E8941-B68E-4D4A-9429-B15E16030443}">
  <sheetPr>
    <tabColor rgb="FFFF0000"/>
    <pageSetUpPr fitToPage="1"/>
  </sheetPr>
  <dimension ref="A1:T178"/>
  <sheetViews>
    <sheetView view="pageBreakPreview" zoomScale="80" zoomScaleNormal="100" zoomScaleSheetLayoutView="80" workbookViewId="0">
      <selection sqref="A1:L1"/>
    </sheetView>
  </sheetViews>
  <sheetFormatPr defaultColWidth="8.77734375" defaultRowHeight="15.75"/>
  <cols>
    <col min="1" max="1" width="25.77734375" style="518" bestFit="1" customWidth="1"/>
    <col min="2" max="2" width="31.109375" style="511" customWidth="1"/>
    <col min="3" max="3" width="10.44140625" style="518" bestFit="1" customWidth="1"/>
    <col min="4" max="4" width="5.6640625" style="518" bestFit="1" customWidth="1"/>
    <col min="5" max="5" width="12.44140625" style="518" bestFit="1" customWidth="1"/>
    <col min="6" max="6" width="18.44140625" style="518" bestFit="1" customWidth="1"/>
    <col min="7" max="7" width="14.77734375" style="518" bestFit="1" customWidth="1"/>
    <col min="8" max="8" width="21.77734375" style="518" bestFit="1" customWidth="1"/>
    <col min="9" max="9" width="9.21875" style="650" bestFit="1" customWidth="1"/>
    <col min="10" max="10" width="14.109375" style="650" bestFit="1" customWidth="1"/>
    <col min="11" max="11" width="7.44140625" style="650" bestFit="1" customWidth="1"/>
    <col min="12" max="12" width="14.44140625" style="650" bestFit="1" customWidth="1"/>
    <col min="13" max="13" width="6" style="650" bestFit="1" customWidth="1"/>
    <col min="14" max="16384" width="8.77734375" style="650"/>
  </cols>
  <sheetData>
    <row r="1" spans="1:20" ht="18" customHeight="1">
      <c r="A1" s="1063" t="s">
        <v>760</v>
      </c>
      <c r="B1" s="1063"/>
      <c r="C1" s="1063"/>
      <c r="D1" s="1063"/>
      <c r="E1" s="1063"/>
      <c r="F1" s="1063"/>
      <c r="G1" s="1063"/>
      <c r="H1" s="1063"/>
      <c r="I1" s="1063"/>
      <c r="J1" s="1063"/>
      <c r="K1" s="1063"/>
      <c r="L1" s="1063"/>
    </row>
    <row r="2" spans="1:20" ht="18" customHeight="1">
      <c r="A2" s="1064" t="str">
        <f>+'6a-ADIT Projection'!A2:I2</f>
        <v>GridLiance West LLC (GLW)</v>
      </c>
      <c r="B2" s="1064"/>
      <c r="C2" s="1064"/>
      <c r="D2" s="1064"/>
      <c r="E2" s="1064"/>
      <c r="F2" s="1064"/>
      <c r="G2" s="1064"/>
      <c r="H2" s="1064"/>
      <c r="I2" s="1064"/>
      <c r="J2" s="1064"/>
      <c r="K2" s="1064"/>
      <c r="L2" s="1064"/>
    </row>
    <row r="3" spans="1:20" ht="18" customHeight="1">
      <c r="A3" s="1063" t="str">
        <f>'6a-ADIT Projection'!A3</f>
        <v>Projection for the 12 Months Ended 12/31/2027</v>
      </c>
      <c r="B3" s="1063"/>
      <c r="C3" s="1063"/>
      <c r="D3" s="1063"/>
      <c r="E3" s="1063"/>
      <c r="F3" s="1063"/>
      <c r="G3" s="1063"/>
      <c r="H3" s="1083"/>
      <c r="I3" s="1063"/>
      <c r="J3" s="1063"/>
      <c r="K3" s="1063"/>
      <c r="L3" s="1063"/>
    </row>
    <row r="4" spans="1:20" ht="18">
      <c r="I4" s="652"/>
      <c r="J4" s="652"/>
    </row>
    <row r="5" spans="1:20">
      <c r="D5" s="650"/>
      <c r="E5" s="650"/>
      <c r="F5" s="650"/>
      <c r="G5" s="650"/>
      <c r="H5" s="650"/>
      <c r="J5" s="518"/>
      <c r="T5" s="651"/>
    </row>
    <row r="6" spans="1:20">
      <c r="B6" s="526" t="s">
        <v>188</v>
      </c>
      <c r="C6" s="526" t="s">
        <v>523</v>
      </c>
      <c r="D6" s="526" t="s">
        <v>524</v>
      </c>
      <c r="E6" s="526" t="s">
        <v>525</v>
      </c>
      <c r="F6" s="526" t="s">
        <v>526</v>
      </c>
      <c r="G6" s="526" t="s">
        <v>527</v>
      </c>
      <c r="H6" s="526" t="s">
        <v>528</v>
      </c>
      <c r="I6" s="651" t="s">
        <v>529</v>
      </c>
      <c r="J6" s="651" t="s">
        <v>530</v>
      </c>
      <c r="K6" s="651" t="s">
        <v>531</v>
      </c>
      <c r="L6" s="651" t="s">
        <v>532</v>
      </c>
    </row>
    <row r="7" spans="1:20" ht="31.5">
      <c r="A7" s="663"/>
      <c r="B7" s="664" t="s">
        <v>743</v>
      </c>
      <c r="C7" s="664" t="s">
        <v>744</v>
      </c>
      <c r="D7" s="664" t="s">
        <v>306</v>
      </c>
      <c r="E7" s="664" t="s">
        <v>761</v>
      </c>
      <c r="F7" s="664" t="s">
        <v>762</v>
      </c>
      <c r="G7" s="664" t="s">
        <v>66</v>
      </c>
      <c r="H7" s="664" t="s">
        <v>763</v>
      </c>
      <c r="I7" s="664" t="s">
        <v>726</v>
      </c>
      <c r="J7" s="664" t="s">
        <v>764</v>
      </c>
      <c r="K7" s="664" t="s">
        <v>727</v>
      </c>
      <c r="L7" s="664" t="s">
        <v>765</v>
      </c>
      <c r="T7" s="651"/>
    </row>
    <row r="8" spans="1:20">
      <c r="A8" s="518" t="s">
        <v>766</v>
      </c>
      <c r="D8" s="526"/>
      <c r="E8" s="526"/>
      <c r="F8" s="526"/>
      <c r="G8" s="526"/>
      <c r="L8" s="669"/>
      <c r="T8" s="651"/>
    </row>
    <row r="9" spans="1:20" ht="20.25" customHeight="1">
      <c r="A9" s="657">
        <v>1</v>
      </c>
      <c r="B9" s="511" t="s">
        <v>767</v>
      </c>
      <c r="C9" s="518" t="s">
        <v>308</v>
      </c>
      <c r="D9" s="665">
        <f>YEAR(EDATE('Appendix III'!$N$7,-12))</f>
        <v>2026</v>
      </c>
      <c r="E9" s="670">
        <f>365/365</f>
        <v>1</v>
      </c>
      <c r="F9" s="230">
        <f>'6c- ADIT BOY'!C54</f>
        <v>3494991</v>
      </c>
      <c r="G9" s="230">
        <f>'6c- ADIT BOY'!E54</f>
        <v>3494991</v>
      </c>
      <c r="H9" s="660">
        <f>E9*G9</f>
        <v>3494991</v>
      </c>
      <c r="I9" s="671">
        <f>'6c- ADIT BOY'!F54</f>
        <v>0</v>
      </c>
      <c r="J9" s="667">
        <f t="shared" ref="J9:J21" si="0">I9*E9</f>
        <v>0</v>
      </c>
      <c r="K9" s="671">
        <f>'6c- ADIT BOY'!G54</f>
        <v>0</v>
      </c>
      <c r="L9" s="667">
        <f t="shared" ref="L9:L21" si="1">E9*K9</f>
        <v>0</v>
      </c>
    </row>
    <row r="10" spans="1:20" ht="20.25" customHeight="1">
      <c r="A10" s="657">
        <f t="shared" ref="A10:A22" si="2">+A9+1</f>
        <v>2</v>
      </c>
      <c r="B10" s="511" t="s">
        <v>768</v>
      </c>
      <c r="C10" s="518" t="s">
        <v>310</v>
      </c>
      <c r="D10" s="665">
        <f>YEAR('Appendix III'!$N$7)</f>
        <v>2027</v>
      </c>
      <c r="E10" s="670">
        <f>335/365</f>
        <v>0.9178082191780822</v>
      </c>
      <c r="F10" s="672">
        <f>-('6c- ADIT BOY'!E50-'6d- ADIT EOY'!E50)/12</f>
        <v>54594.386181780756</v>
      </c>
      <c r="G10" s="672">
        <f>F10</f>
        <v>54594.386181780756</v>
      </c>
      <c r="H10" s="660">
        <f>E10*G10</f>
        <v>50107.176358620694</v>
      </c>
      <c r="I10" s="673">
        <v>0</v>
      </c>
      <c r="J10" s="667">
        <f t="shared" si="0"/>
        <v>0</v>
      </c>
      <c r="K10" s="673">
        <v>0</v>
      </c>
      <c r="L10" s="667">
        <f t="shared" si="1"/>
        <v>0</v>
      </c>
    </row>
    <row r="11" spans="1:20" ht="20.25" customHeight="1">
      <c r="A11" s="657">
        <f t="shared" si="2"/>
        <v>3</v>
      </c>
      <c r="B11" s="511" t="s">
        <v>768</v>
      </c>
      <c r="C11" s="518" t="s">
        <v>312</v>
      </c>
      <c r="D11" s="665">
        <f>D10</f>
        <v>2027</v>
      </c>
      <c r="E11" s="670">
        <f>307/365</f>
        <v>0.84109589041095889</v>
      </c>
      <c r="F11" s="672">
        <f>F$10</f>
        <v>54594.386181780756</v>
      </c>
      <c r="G11" s="672">
        <f t="shared" ref="G11:G21" si="3">F11</f>
        <v>54594.386181780756</v>
      </c>
      <c r="H11" s="660">
        <f>E11*G11</f>
        <v>45919.113857004631</v>
      </c>
      <c r="I11" s="673">
        <v>0</v>
      </c>
      <c r="J11" s="667">
        <f t="shared" si="0"/>
        <v>0</v>
      </c>
      <c r="K11" s="673">
        <v>0</v>
      </c>
      <c r="L11" s="667">
        <f t="shared" si="1"/>
        <v>0</v>
      </c>
    </row>
    <row r="12" spans="1:20" ht="20.25" customHeight="1">
      <c r="A12" s="657">
        <f t="shared" si="2"/>
        <v>4</v>
      </c>
      <c r="B12" s="511" t="s">
        <v>768</v>
      </c>
      <c r="C12" s="518" t="s">
        <v>313</v>
      </c>
      <c r="D12" s="665">
        <f t="shared" ref="D12:D21" si="4">D11</f>
        <v>2027</v>
      </c>
      <c r="E12" s="670">
        <f>276/365</f>
        <v>0.75616438356164384</v>
      </c>
      <c r="F12" s="672">
        <f t="shared" ref="F12:F21" si="5">F$10</f>
        <v>54594.386181780756</v>
      </c>
      <c r="G12" s="672">
        <f t="shared" si="3"/>
        <v>54594.386181780756</v>
      </c>
      <c r="H12" s="530">
        <f>E12*G12</f>
        <v>41282.330373072575</v>
      </c>
      <c r="I12" s="673">
        <v>0</v>
      </c>
      <c r="J12" s="667">
        <f t="shared" si="0"/>
        <v>0</v>
      </c>
      <c r="K12" s="673">
        <v>0</v>
      </c>
      <c r="L12" s="667">
        <f t="shared" si="1"/>
        <v>0</v>
      </c>
    </row>
    <row r="13" spans="1:20" ht="20.25" customHeight="1">
      <c r="A13" s="657">
        <f t="shared" si="2"/>
        <v>5</v>
      </c>
      <c r="B13" s="511" t="s">
        <v>768</v>
      </c>
      <c r="C13" s="518" t="s">
        <v>314</v>
      </c>
      <c r="D13" s="665">
        <f t="shared" si="4"/>
        <v>2027</v>
      </c>
      <c r="E13" s="670">
        <f>246/365</f>
        <v>0.67397260273972603</v>
      </c>
      <c r="F13" s="672">
        <f t="shared" si="5"/>
        <v>54594.386181780756</v>
      </c>
      <c r="G13" s="672">
        <f t="shared" si="3"/>
        <v>54594.386181780756</v>
      </c>
      <c r="H13" s="530">
        <f t="shared" ref="H13:H21" si="6">E13*G13</f>
        <v>36795.120549912506</v>
      </c>
      <c r="I13" s="673">
        <v>0</v>
      </c>
      <c r="J13" s="667">
        <f t="shared" si="0"/>
        <v>0</v>
      </c>
      <c r="K13" s="673">
        <v>0</v>
      </c>
      <c r="L13" s="667">
        <f t="shared" si="1"/>
        <v>0</v>
      </c>
    </row>
    <row r="14" spans="1:20" ht="20.25" customHeight="1">
      <c r="A14" s="657">
        <f t="shared" si="2"/>
        <v>6</v>
      </c>
      <c r="B14" s="511" t="s">
        <v>768</v>
      </c>
      <c r="C14" s="518" t="s">
        <v>315</v>
      </c>
      <c r="D14" s="665">
        <f t="shared" si="4"/>
        <v>2027</v>
      </c>
      <c r="E14" s="670">
        <f>215/365</f>
        <v>0.58904109589041098</v>
      </c>
      <c r="F14" s="672">
        <f t="shared" si="5"/>
        <v>54594.386181780756</v>
      </c>
      <c r="G14" s="672">
        <f t="shared" si="3"/>
        <v>54594.386181780756</v>
      </c>
      <c r="H14" s="530">
        <f t="shared" si="6"/>
        <v>32158.337065980446</v>
      </c>
      <c r="I14" s="673">
        <v>0</v>
      </c>
      <c r="J14" s="667">
        <f t="shared" si="0"/>
        <v>0</v>
      </c>
      <c r="K14" s="673">
        <v>0</v>
      </c>
      <c r="L14" s="667">
        <f t="shared" si="1"/>
        <v>0</v>
      </c>
    </row>
    <row r="15" spans="1:20" ht="20.25" customHeight="1">
      <c r="A15" s="657">
        <f t="shared" si="2"/>
        <v>7</v>
      </c>
      <c r="B15" s="511" t="s">
        <v>768</v>
      </c>
      <c r="C15" s="518" t="s">
        <v>435</v>
      </c>
      <c r="D15" s="665">
        <f t="shared" si="4"/>
        <v>2027</v>
      </c>
      <c r="E15" s="670">
        <f>185/365</f>
        <v>0.50684931506849318</v>
      </c>
      <c r="F15" s="672">
        <f t="shared" si="5"/>
        <v>54594.386181780756</v>
      </c>
      <c r="G15" s="672">
        <f t="shared" si="3"/>
        <v>54594.386181780756</v>
      </c>
      <c r="H15" s="530">
        <f t="shared" si="6"/>
        <v>27671.127242820385</v>
      </c>
      <c r="I15" s="673">
        <v>0</v>
      </c>
      <c r="J15" s="667">
        <f t="shared" si="0"/>
        <v>0</v>
      </c>
      <c r="K15" s="673">
        <v>0</v>
      </c>
      <c r="L15" s="667">
        <f t="shared" si="1"/>
        <v>0</v>
      </c>
    </row>
    <row r="16" spans="1:20" ht="20.25" customHeight="1">
      <c r="A16" s="657">
        <f t="shared" si="2"/>
        <v>8</v>
      </c>
      <c r="B16" s="511" t="s">
        <v>768</v>
      </c>
      <c r="C16" s="518" t="s">
        <v>317</v>
      </c>
      <c r="D16" s="665">
        <f t="shared" si="4"/>
        <v>2027</v>
      </c>
      <c r="E16" s="670">
        <f>154/365</f>
        <v>0.42191780821917807</v>
      </c>
      <c r="F16" s="672">
        <f t="shared" si="5"/>
        <v>54594.386181780756</v>
      </c>
      <c r="G16" s="672">
        <f t="shared" si="3"/>
        <v>54594.386181780756</v>
      </c>
      <c r="H16" s="530">
        <f t="shared" si="6"/>
        <v>23034.343758888317</v>
      </c>
      <c r="I16" s="673">
        <v>0</v>
      </c>
      <c r="J16" s="667">
        <f t="shared" si="0"/>
        <v>0</v>
      </c>
      <c r="K16" s="673">
        <v>0</v>
      </c>
      <c r="L16" s="667">
        <f t="shared" si="1"/>
        <v>0</v>
      </c>
    </row>
    <row r="17" spans="1:20" ht="20.25" customHeight="1">
      <c r="A17" s="657">
        <f t="shared" si="2"/>
        <v>9</v>
      </c>
      <c r="B17" s="511" t="s">
        <v>768</v>
      </c>
      <c r="C17" s="518" t="s">
        <v>318</v>
      </c>
      <c r="D17" s="665">
        <f t="shared" si="4"/>
        <v>2027</v>
      </c>
      <c r="E17" s="670">
        <f>123/365</f>
        <v>0.33698630136986302</v>
      </c>
      <c r="F17" s="672">
        <f t="shared" si="5"/>
        <v>54594.386181780756</v>
      </c>
      <c r="G17" s="672">
        <f t="shared" si="3"/>
        <v>54594.386181780756</v>
      </c>
      <c r="H17" s="530">
        <f t="shared" si="6"/>
        <v>18397.560274956253</v>
      </c>
      <c r="I17" s="673">
        <v>0</v>
      </c>
      <c r="J17" s="667">
        <f t="shared" si="0"/>
        <v>0</v>
      </c>
      <c r="K17" s="673">
        <v>0</v>
      </c>
      <c r="L17" s="667">
        <f t="shared" si="1"/>
        <v>0</v>
      </c>
    </row>
    <row r="18" spans="1:20" ht="20.25" customHeight="1">
      <c r="A18" s="657">
        <f t="shared" si="2"/>
        <v>10</v>
      </c>
      <c r="B18" s="511" t="s">
        <v>768</v>
      </c>
      <c r="C18" s="518" t="s">
        <v>319</v>
      </c>
      <c r="D18" s="665">
        <f t="shared" si="4"/>
        <v>2027</v>
      </c>
      <c r="E18" s="670">
        <f>93/365</f>
        <v>0.25479452054794521</v>
      </c>
      <c r="F18" s="672">
        <f t="shared" si="5"/>
        <v>54594.386181780756</v>
      </c>
      <c r="G18" s="672">
        <f t="shared" si="3"/>
        <v>54594.386181780756</v>
      </c>
      <c r="H18" s="530">
        <f t="shared" si="6"/>
        <v>13910.350451796194</v>
      </c>
      <c r="I18" s="673">
        <v>0</v>
      </c>
      <c r="J18" s="667">
        <f t="shared" si="0"/>
        <v>0</v>
      </c>
      <c r="K18" s="673">
        <v>0</v>
      </c>
      <c r="L18" s="667">
        <f t="shared" si="1"/>
        <v>0</v>
      </c>
    </row>
    <row r="19" spans="1:20" ht="20.25" customHeight="1">
      <c r="A19" s="657">
        <f t="shared" si="2"/>
        <v>11</v>
      </c>
      <c r="B19" s="511" t="s">
        <v>768</v>
      </c>
      <c r="C19" s="518" t="s">
        <v>326</v>
      </c>
      <c r="D19" s="665">
        <f t="shared" si="4"/>
        <v>2027</v>
      </c>
      <c r="E19" s="670">
        <f>62/365</f>
        <v>0.16986301369863013</v>
      </c>
      <c r="F19" s="672">
        <f t="shared" si="5"/>
        <v>54594.386181780756</v>
      </c>
      <c r="G19" s="672">
        <f t="shared" si="3"/>
        <v>54594.386181780756</v>
      </c>
      <c r="H19" s="530">
        <f t="shared" si="6"/>
        <v>9273.5669678641279</v>
      </c>
      <c r="I19" s="673">
        <v>0</v>
      </c>
      <c r="J19" s="667">
        <f t="shared" si="0"/>
        <v>0</v>
      </c>
      <c r="K19" s="673">
        <v>0</v>
      </c>
      <c r="L19" s="667">
        <f t="shared" si="1"/>
        <v>0</v>
      </c>
    </row>
    <row r="20" spans="1:20" ht="20.25" customHeight="1">
      <c r="A20" s="657">
        <f t="shared" si="2"/>
        <v>12</v>
      </c>
      <c r="B20" s="511" t="s">
        <v>768</v>
      </c>
      <c r="C20" s="518" t="s">
        <v>321</v>
      </c>
      <c r="D20" s="665">
        <f t="shared" si="4"/>
        <v>2027</v>
      </c>
      <c r="E20" s="670">
        <f>32/365</f>
        <v>8.7671232876712329E-2</v>
      </c>
      <c r="F20" s="672">
        <f t="shared" si="5"/>
        <v>54594.386181780756</v>
      </c>
      <c r="G20" s="672">
        <f t="shared" si="3"/>
        <v>54594.386181780756</v>
      </c>
      <c r="H20" s="530">
        <f t="shared" si="6"/>
        <v>4786.3571447040658</v>
      </c>
      <c r="I20" s="673">
        <v>0</v>
      </c>
      <c r="J20" s="667">
        <f t="shared" si="0"/>
        <v>0</v>
      </c>
      <c r="K20" s="673">
        <v>0</v>
      </c>
      <c r="L20" s="667">
        <f t="shared" si="1"/>
        <v>0</v>
      </c>
    </row>
    <row r="21" spans="1:20" ht="20.25" customHeight="1">
      <c r="A21" s="657">
        <f t="shared" si="2"/>
        <v>13</v>
      </c>
      <c r="B21" s="511" t="s">
        <v>768</v>
      </c>
      <c r="C21" s="518" t="s">
        <v>308</v>
      </c>
      <c r="D21" s="665">
        <f t="shared" si="4"/>
        <v>2027</v>
      </c>
      <c r="E21" s="670">
        <f>1/365</f>
        <v>2.7397260273972603E-3</v>
      </c>
      <c r="F21" s="672">
        <f t="shared" si="5"/>
        <v>54594.386181780756</v>
      </c>
      <c r="G21" s="672">
        <f t="shared" si="3"/>
        <v>54594.386181780756</v>
      </c>
      <c r="H21" s="530">
        <f t="shared" si="6"/>
        <v>149.57366077200206</v>
      </c>
      <c r="I21" s="673">
        <v>0</v>
      </c>
      <c r="J21" s="667">
        <f t="shared" si="0"/>
        <v>0</v>
      </c>
      <c r="K21" s="673">
        <v>0</v>
      </c>
      <c r="L21" s="667">
        <f t="shared" si="1"/>
        <v>0</v>
      </c>
    </row>
    <row r="22" spans="1:20" ht="20.25" customHeight="1">
      <c r="A22" s="657">
        <f t="shared" si="2"/>
        <v>14</v>
      </c>
      <c r="B22" s="511" t="s">
        <v>769</v>
      </c>
      <c r="F22" s="530">
        <f t="shared" ref="F22:L22" si="7">SUM(F9:F21)</f>
        <v>4150123.6341813672</v>
      </c>
      <c r="G22" s="530">
        <f t="shared" si="7"/>
        <v>4150123.6341813672</v>
      </c>
      <c r="H22" s="530">
        <f>SUM(H9:H21)</f>
        <v>3798475.9577063923</v>
      </c>
      <c r="I22" s="667">
        <f t="shared" si="7"/>
        <v>0</v>
      </c>
      <c r="J22" s="667">
        <f t="shared" si="7"/>
        <v>0</v>
      </c>
      <c r="K22" s="667">
        <f t="shared" si="7"/>
        <v>0</v>
      </c>
      <c r="L22" s="667">
        <f t="shared" si="7"/>
        <v>0</v>
      </c>
    </row>
    <row r="23" spans="1:20">
      <c r="A23" s="657"/>
    </row>
    <row r="24" spans="1:20">
      <c r="A24" s="518" t="s">
        <v>770</v>
      </c>
      <c r="D24" s="526"/>
      <c r="E24" s="526"/>
      <c r="F24" s="526"/>
      <c r="G24" s="526"/>
      <c r="T24" s="651"/>
    </row>
    <row r="25" spans="1:20" ht="20.25" customHeight="1">
      <c r="A25" s="657">
        <f>A22+1</f>
        <v>15</v>
      </c>
      <c r="B25" s="511" t="s">
        <v>771</v>
      </c>
      <c r="C25" s="518" t="s">
        <v>308</v>
      </c>
      <c r="D25" s="665">
        <f>D9</f>
        <v>2026</v>
      </c>
      <c r="E25" s="670">
        <f>365/365</f>
        <v>1</v>
      </c>
      <c r="F25" s="230">
        <f>'6c- ADIT BOY'!C78</f>
        <v>609091</v>
      </c>
      <c r="G25" s="230">
        <f>'6c- ADIT BOY'!E78</f>
        <v>609091</v>
      </c>
      <c r="H25" s="660">
        <f t="shared" ref="H25:H37" si="8">E25*G25</f>
        <v>609091</v>
      </c>
      <c r="I25" s="671">
        <f>'6c- ADIT BOY'!F78</f>
        <v>0</v>
      </c>
      <c r="J25" s="667">
        <f t="shared" ref="J25:J37" si="9">I25*E25</f>
        <v>0</v>
      </c>
      <c r="K25" s="671">
        <f>'6c- ADIT BOY'!G78</f>
        <v>0</v>
      </c>
      <c r="L25" s="667">
        <f t="shared" ref="L25:L37" si="10">E25*K25</f>
        <v>0</v>
      </c>
    </row>
    <row r="26" spans="1:20" ht="20.25" customHeight="1">
      <c r="A26" s="657">
        <f t="shared" ref="A26:A38" si="11">+A25+1</f>
        <v>16</v>
      </c>
      <c r="B26" s="511" t="s">
        <v>768</v>
      </c>
      <c r="C26" s="518" t="s">
        <v>310</v>
      </c>
      <c r="D26" s="665">
        <f t="shared" ref="D26:D37" si="12">D10</f>
        <v>2027</v>
      </c>
      <c r="E26" s="670">
        <f>335/365</f>
        <v>0.9178082191780822</v>
      </c>
      <c r="F26" s="672">
        <f>-('6c- ADIT BOY'!E74-'6d- ADIT EOY'!E74)/12</f>
        <v>932.5</v>
      </c>
      <c r="G26" s="672">
        <f>F26</f>
        <v>932.5</v>
      </c>
      <c r="H26" s="660">
        <f t="shared" si="8"/>
        <v>855.85616438356169</v>
      </c>
      <c r="I26" s="673">
        <v>0</v>
      </c>
      <c r="J26" s="667">
        <f t="shared" si="9"/>
        <v>0</v>
      </c>
      <c r="K26" s="673">
        <v>0</v>
      </c>
      <c r="L26" s="667">
        <f t="shared" si="10"/>
        <v>0</v>
      </c>
    </row>
    <row r="27" spans="1:20" ht="20.25" customHeight="1">
      <c r="A27" s="657">
        <f t="shared" si="11"/>
        <v>17</v>
      </c>
      <c r="B27" s="511" t="s">
        <v>768</v>
      </c>
      <c r="C27" s="518" t="s">
        <v>312</v>
      </c>
      <c r="D27" s="665">
        <f t="shared" si="12"/>
        <v>2027</v>
      </c>
      <c r="E27" s="670">
        <f>307/365</f>
        <v>0.84109589041095889</v>
      </c>
      <c r="F27" s="672">
        <f>$F$26</f>
        <v>932.5</v>
      </c>
      <c r="G27" s="672">
        <f t="shared" ref="G27:G37" si="13">F27</f>
        <v>932.5</v>
      </c>
      <c r="H27" s="660">
        <f t="shared" si="8"/>
        <v>784.32191780821915</v>
      </c>
      <c r="I27" s="673">
        <v>0</v>
      </c>
      <c r="J27" s="667">
        <f t="shared" si="9"/>
        <v>0</v>
      </c>
      <c r="K27" s="673">
        <v>0</v>
      </c>
      <c r="L27" s="667">
        <f t="shared" si="10"/>
        <v>0</v>
      </c>
    </row>
    <row r="28" spans="1:20" ht="20.25" customHeight="1">
      <c r="A28" s="657">
        <f t="shared" si="11"/>
        <v>18</v>
      </c>
      <c r="B28" s="511" t="s">
        <v>768</v>
      </c>
      <c r="C28" s="518" t="s">
        <v>313</v>
      </c>
      <c r="D28" s="665">
        <f t="shared" si="12"/>
        <v>2027</v>
      </c>
      <c r="E28" s="670">
        <f>276/365</f>
        <v>0.75616438356164384</v>
      </c>
      <c r="F28" s="672">
        <f t="shared" ref="F28:F37" si="14">$F$26</f>
        <v>932.5</v>
      </c>
      <c r="G28" s="672">
        <f t="shared" si="13"/>
        <v>932.5</v>
      </c>
      <c r="H28" s="660">
        <f t="shared" si="8"/>
        <v>705.1232876712329</v>
      </c>
      <c r="I28" s="673">
        <v>0</v>
      </c>
      <c r="J28" s="667">
        <f t="shared" si="9"/>
        <v>0</v>
      </c>
      <c r="K28" s="673">
        <v>0</v>
      </c>
      <c r="L28" s="667">
        <f t="shared" si="10"/>
        <v>0</v>
      </c>
    </row>
    <row r="29" spans="1:20" ht="20.25" customHeight="1">
      <c r="A29" s="657">
        <f t="shared" si="11"/>
        <v>19</v>
      </c>
      <c r="B29" s="511" t="s">
        <v>768</v>
      </c>
      <c r="C29" s="518" t="s">
        <v>314</v>
      </c>
      <c r="D29" s="665">
        <f t="shared" si="12"/>
        <v>2027</v>
      </c>
      <c r="E29" s="670">
        <f>246/365</f>
        <v>0.67397260273972603</v>
      </c>
      <c r="F29" s="672">
        <f t="shared" si="14"/>
        <v>932.5</v>
      </c>
      <c r="G29" s="672">
        <f t="shared" si="13"/>
        <v>932.5</v>
      </c>
      <c r="H29" s="660">
        <f t="shared" si="8"/>
        <v>628.47945205479448</v>
      </c>
      <c r="I29" s="673">
        <v>0</v>
      </c>
      <c r="J29" s="667">
        <f t="shared" si="9"/>
        <v>0</v>
      </c>
      <c r="K29" s="673">
        <v>0</v>
      </c>
      <c r="L29" s="667">
        <f t="shared" si="10"/>
        <v>0</v>
      </c>
    </row>
    <row r="30" spans="1:20" ht="20.25" customHeight="1">
      <c r="A30" s="657">
        <f t="shared" si="11"/>
        <v>20</v>
      </c>
      <c r="B30" s="511" t="s">
        <v>768</v>
      </c>
      <c r="C30" s="518" t="s">
        <v>315</v>
      </c>
      <c r="D30" s="665">
        <f t="shared" si="12"/>
        <v>2027</v>
      </c>
      <c r="E30" s="670">
        <f>215/365</f>
        <v>0.58904109589041098</v>
      </c>
      <c r="F30" s="672">
        <f t="shared" si="14"/>
        <v>932.5</v>
      </c>
      <c r="G30" s="672">
        <f t="shared" si="13"/>
        <v>932.5</v>
      </c>
      <c r="H30" s="660">
        <f t="shared" si="8"/>
        <v>549.28082191780823</v>
      </c>
      <c r="I30" s="673">
        <v>0</v>
      </c>
      <c r="J30" s="667">
        <f t="shared" si="9"/>
        <v>0</v>
      </c>
      <c r="K30" s="673">
        <v>0</v>
      </c>
      <c r="L30" s="667">
        <f t="shared" si="10"/>
        <v>0</v>
      </c>
    </row>
    <row r="31" spans="1:20" ht="20.25" customHeight="1">
      <c r="A31" s="657">
        <f t="shared" si="11"/>
        <v>21</v>
      </c>
      <c r="B31" s="511" t="s">
        <v>768</v>
      </c>
      <c r="C31" s="518" t="s">
        <v>435</v>
      </c>
      <c r="D31" s="665">
        <f t="shared" si="12"/>
        <v>2027</v>
      </c>
      <c r="E31" s="670">
        <f>185/365</f>
        <v>0.50684931506849318</v>
      </c>
      <c r="F31" s="672">
        <f t="shared" si="14"/>
        <v>932.5</v>
      </c>
      <c r="G31" s="672">
        <f t="shared" si="13"/>
        <v>932.5</v>
      </c>
      <c r="H31" s="660">
        <f t="shared" si="8"/>
        <v>472.63698630136992</v>
      </c>
      <c r="I31" s="673">
        <v>0</v>
      </c>
      <c r="J31" s="667">
        <f t="shared" si="9"/>
        <v>0</v>
      </c>
      <c r="K31" s="673">
        <v>0</v>
      </c>
      <c r="L31" s="667">
        <f t="shared" si="10"/>
        <v>0</v>
      </c>
    </row>
    <row r="32" spans="1:20" ht="20.25" customHeight="1">
      <c r="A32" s="657">
        <f t="shared" si="11"/>
        <v>22</v>
      </c>
      <c r="B32" s="511" t="s">
        <v>768</v>
      </c>
      <c r="C32" s="518" t="s">
        <v>317</v>
      </c>
      <c r="D32" s="665">
        <f t="shared" si="12"/>
        <v>2027</v>
      </c>
      <c r="E32" s="670">
        <f>154/365</f>
        <v>0.42191780821917807</v>
      </c>
      <c r="F32" s="672">
        <f t="shared" si="14"/>
        <v>932.5</v>
      </c>
      <c r="G32" s="672">
        <f t="shared" si="13"/>
        <v>932.5</v>
      </c>
      <c r="H32" s="660">
        <f t="shared" si="8"/>
        <v>393.43835616438355</v>
      </c>
      <c r="I32" s="673">
        <v>0</v>
      </c>
      <c r="J32" s="667">
        <f t="shared" si="9"/>
        <v>0</v>
      </c>
      <c r="K32" s="673">
        <v>0</v>
      </c>
      <c r="L32" s="667">
        <f t="shared" si="10"/>
        <v>0</v>
      </c>
    </row>
    <row r="33" spans="1:20" ht="20.25" customHeight="1">
      <c r="A33" s="657">
        <f t="shared" si="11"/>
        <v>23</v>
      </c>
      <c r="B33" s="511" t="s">
        <v>768</v>
      </c>
      <c r="C33" s="518" t="s">
        <v>318</v>
      </c>
      <c r="D33" s="665">
        <f t="shared" si="12"/>
        <v>2027</v>
      </c>
      <c r="E33" s="670">
        <f>123/365</f>
        <v>0.33698630136986302</v>
      </c>
      <c r="F33" s="672">
        <f t="shared" si="14"/>
        <v>932.5</v>
      </c>
      <c r="G33" s="672">
        <f t="shared" si="13"/>
        <v>932.5</v>
      </c>
      <c r="H33" s="660">
        <f t="shared" si="8"/>
        <v>314.23972602739724</v>
      </c>
      <c r="I33" s="673">
        <v>0</v>
      </c>
      <c r="J33" s="667">
        <f t="shared" si="9"/>
        <v>0</v>
      </c>
      <c r="K33" s="673">
        <v>0</v>
      </c>
      <c r="L33" s="667">
        <f t="shared" si="10"/>
        <v>0</v>
      </c>
    </row>
    <row r="34" spans="1:20" ht="20.25" customHeight="1">
      <c r="A34" s="657">
        <f t="shared" si="11"/>
        <v>24</v>
      </c>
      <c r="B34" s="511" t="s">
        <v>768</v>
      </c>
      <c r="C34" s="518" t="s">
        <v>319</v>
      </c>
      <c r="D34" s="665">
        <f t="shared" si="12"/>
        <v>2027</v>
      </c>
      <c r="E34" s="670">
        <f>93/365</f>
        <v>0.25479452054794521</v>
      </c>
      <c r="F34" s="672">
        <f t="shared" si="14"/>
        <v>932.5</v>
      </c>
      <c r="G34" s="672">
        <f t="shared" si="13"/>
        <v>932.5</v>
      </c>
      <c r="H34" s="660">
        <f t="shared" si="8"/>
        <v>237.5958904109589</v>
      </c>
      <c r="I34" s="673">
        <v>0</v>
      </c>
      <c r="J34" s="667">
        <f t="shared" si="9"/>
        <v>0</v>
      </c>
      <c r="K34" s="673">
        <v>0</v>
      </c>
      <c r="L34" s="667">
        <f t="shared" si="10"/>
        <v>0</v>
      </c>
    </row>
    <row r="35" spans="1:20" ht="20.25" customHeight="1">
      <c r="A35" s="657">
        <f t="shared" si="11"/>
        <v>25</v>
      </c>
      <c r="B35" s="511" t="s">
        <v>768</v>
      </c>
      <c r="C35" s="518" t="s">
        <v>326</v>
      </c>
      <c r="D35" s="665">
        <f t="shared" si="12"/>
        <v>2027</v>
      </c>
      <c r="E35" s="670">
        <f>62/365</f>
        <v>0.16986301369863013</v>
      </c>
      <c r="F35" s="672">
        <f t="shared" si="14"/>
        <v>932.5</v>
      </c>
      <c r="G35" s="672">
        <f t="shared" si="13"/>
        <v>932.5</v>
      </c>
      <c r="H35" s="660">
        <f t="shared" si="8"/>
        <v>158.39726027397259</v>
      </c>
      <c r="I35" s="673">
        <v>0</v>
      </c>
      <c r="J35" s="667">
        <f t="shared" si="9"/>
        <v>0</v>
      </c>
      <c r="K35" s="673">
        <v>0</v>
      </c>
      <c r="L35" s="667">
        <f t="shared" si="10"/>
        <v>0</v>
      </c>
    </row>
    <row r="36" spans="1:20" ht="20.25" customHeight="1">
      <c r="A36" s="657">
        <f t="shared" si="11"/>
        <v>26</v>
      </c>
      <c r="B36" s="511" t="s">
        <v>768</v>
      </c>
      <c r="C36" s="518" t="s">
        <v>321</v>
      </c>
      <c r="D36" s="665">
        <f t="shared" si="12"/>
        <v>2027</v>
      </c>
      <c r="E36" s="670">
        <f>32/365</f>
        <v>8.7671232876712329E-2</v>
      </c>
      <c r="F36" s="672">
        <f t="shared" si="14"/>
        <v>932.5</v>
      </c>
      <c r="G36" s="672">
        <f t="shared" si="13"/>
        <v>932.5</v>
      </c>
      <c r="H36" s="660">
        <f t="shared" si="8"/>
        <v>81.753424657534254</v>
      </c>
      <c r="I36" s="673">
        <v>0</v>
      </c>
      <c r="J36" s="667">
        <f t="shared" si="9"/>
        <v>0</v>
      </c>
      <c r="K36" s="673">
        <v>0</v>
      </c>
      <c r="L36" s="667">
        <f t="shared" si="10"/>
        <v>0</v>
      </c>
    </row>
    <row r="37" spans="1:20" ht="20.25" customHeight="1">
      <c r="A37" s="657">
        <f t="shared" si="11"/>
        <v>27</v>
      </c>
      <c r="B37" s="511" t="s">
        <v>768</v>
      </c>
      <c r="C37" s="518" t="s">
        <v>308</v>
      </c>
      <c r="D37" s="665">
        <f t="shared" si="12"/>
        <v>2027</v>
      </c>
      <c r="E37" s="670">
        <f>1/365</f>
        <v>2.7397260273972603E-3</v>
      </c>
      <c r="F37" s="672">
        <f t="shared" si="14"/>
        <v>932.5</v>
      </c>
      <c r="G37" s="672">
        <f t="shared" si="13"/>
        <v>932.5</v>
      </c>
      <c r="H37" s="660">
        <f t="shared" si="8"/>
        <v>2.5547945205479454</v>
      </c>
      <c r="I37" s="673">
        <v>0</v>
      </c>
      <c r="J37" s="667">
        <f t="shared" si="9"/>
        <v>0</v>
      </c>
      <c r="K37" s="673">
        <v>0</v>
      </c>
      <c r="L37" s="667">
        <f t="shared" si="10"/>
        <v>0</v>
      </c>
    </row>
    <row r="38" spans="1:20" ht="20.25" customHeight="1">
      <c r="A38" s="657">
        <f t="shared" si="11"/>
        <v>28</v>
      </c>
      <c r="B38" s="511" t="s">
        <v>772</v>
      </c>
      <c r="F38" s="660">
        <f t="shared" ref="F38:L38" si="15">SUM(F25:F37)</f>
        <v>620281</v>
      </c>
      <c r="G38" s="660">
        <f>SUM(G25:G37)</f>
        <v>620281</v>
      </c>
      <c r="H38" s="660">
        <f t="shared" si="15"/>
        <v>614274.67808219185</v>
      </c>
      <c r="I38" s="667">
        <f t="shared" si="15"/>
        <v>0</v>
      </c>
      <c r="J38" s="667">
        <f t="shared" si="15"/>
        <v>0</v>
      </c>
      <c r="K38" s="667">
        <f t="shared" si="15"/>
        <v>0</v>
      </c>
      <c r="L38" s="667">
        <f t="shared" si="15"/>
        <v>0</v>
      </c>
    </row>
    <row r="39" spans="1:20">
      <c r="A39" s="657"/>
      <c r="F39" s="660"/>
      <c r="G39" s="660"/>
      <c r="I39" s="667"/>
      <c r="J39" s="667"/>
      <c r="K39" s="667"/>
      <c r="L39" s="667"/>
    </row>
    <row r="40" spans="1:20">
      <c r="A40" s="518" t="s">
        <v>773</v>
      </c>
      <c r="D40" s="526"/>
      <c r="E40" s="526"/>
      <c r="F40" s="526"/>
      <c r="G40" s="526"/>
      <c r="T40" s="651"/>
    </row>
    <row r="41" spans="1:20" ht="20.25" customHeight="1">
      <c r="A41" s="657">
        <f>A38+1</f>
        <v>29</v>
      </c>
      <c r="B41" s="511" t="s">
        <v>774</v>
      </c>
      <c r="C41" s="518" t="s">
        <v>308</v>
      </c>
      <c r="D41" s="665">
        <f>D25</f>
        <v>2026</v>
      </c>
      <c r="E41" s="670">
        <f>365/365</f>
        <v>1</v>
      </c>
      <c r="F41" s="230">
        <f>'6c- ADIT BOY'!C32</f>
        <v>-70430</v>
      </c>
      <c r="G41" s="230">
        <f>'6c- ADIT BOY'!E32</f>
        <v>-70430</v>
      </c>
      <c r="H41" s="660">
        <f t="shared" ref="H41:H53" si="16">E41*G41</f>
        <v>-70430</v>
      </c>
      <c r="I41" s="671">
        <f>'6c- ADIT BOY'!F32</f>
        <v>0</v>
      </c>
      <c r="J41" s="667">
        <f t="shared" ref="J41:J53" si="17">I41*E41</f>
        <v>0</v>
      </c>
      <c r="K41" s="671">
        <f>'6c- ADIT BOY'!G32</f>
        <v>0</v>
      </c>
      <c r="L41" s="667">
        <f t="shared" ref="L41:L53" si="18">E41*K41</f>
        <v>0</v>
      </c>
    </row>
    <row r="42" spans="1:20" ht="20.25" customHeight="1">
      <c r="A42" s="657">
        <f t="shared" ref="A42:A54" si="19">+A41+1</f>
        <v>30</v>
      </c>
      <c r="B42" s="511" t="s">
        <v>768</v>
      </c>
      <c r="C42" s="518" t="s">
        <v>310</v>
      </c>
      <c r="D42" s="665">
        <f t="shared" ref="D42:D53" si="20">D26</f>
        <v>2027</v>
      </c>
      <c r="E42" s="670">
        <f>335/365</f>
        <v>0.9178082191780822</v>
      </c>
      <c r="F42" s="672">
        <f>-('6c- ADIT BOY'!E28-'6d- ADIT EOY'!E28)/12</f>
        <v>-737.25</v>
      </c>
      <c r="G42" s="672">
        <f>F42</f>
        <v>-737.25</v>
      </c>
      <c r="H42" s="660">
        <f t="shared" si="16"/>
        <v>-676.65410958904113</v>
      </c>
      <c r="I42" s="673">
        <v>0</v>
      </c>
      <c r="J42" s="667">
        <f t="shared" si="17"/>
        <v>0</v>
      </c>
      <c r="K42" s="673">
        <v>0</v>
      </c>
      <c r="L42" s="667">
        <f t="shared" si="18"/>
        <v>0</v>
      </c>
    </row>
    <row r="43" spans="1:20" ht="20.25" customHeight="1">
      <c r="A43" s="657">
        <f t="shared" si="19"/>
        <v>31</v>
      </c>
      <c r="B43" s="511" t="s">
        <v>768</v>
      </c>
      <c r="C43" s="518" t="s">
        <v>312</v>
      </c>
      <c r="D43" s="665">
        <f t="shared" si="20"/>
        <v>2027</v>
      </c>
      <c r="E43" s="670">
        <f>307/365</f>
        <v>0.84109589041095889</v>
      </c>
      <c r="F43" s="672">
        <f>$F$42</f>
        <v>-737.25</v>
      </c>
      <c r="G43" s="672">
        <f t="shared" ref="G43:G53" si="21">F43</f>
        <v>-737.25</v>
      </c>
      <c r="H43" s="660">
        <f t="shared" si="16"/>
        <v>-620.09794520547939</v>
      </c>
      <c r="I43" s="673">
        <v>0</v>
      </c>
      <c r="J43" s="667">
        <f t="shared" si="17"/>
        <v>0</v>
      </c>
      <c r="K43" s="673">
        <v>0</v>
      </c>
      <c r="L43" s="667">
        <f t="shared" si="18"/>
        <v>0</v>
      </c>
    </row>
    <row r="44" spans="1:20" ht="20.25" customHeight="1">
      <c r="A44" s="657">
        <f t="shared" si="19"/>
        <v>32</v>
      </c>
      <c r="B44" s="511" t="s">
        <v>768</v>
      </c>
      <c r="C44" s="518" t="s">
        <v>313</v>
      </c>
      <c r="D44" s="665">
        <f t="shared" si="20"/>
        <v>2027</v>
      </c>
      <c r="E44" s="670">
        <f>276/365</f>
        <v>0.75616438356164384</v>
      </c>
      <c r="F44" s="672">
        <f t="shared" ref="F44:F53" si="22">$F$42</f>
        <v>-737.25</v>
      </c>
      <c r="G44" s="672">
        <f t="shared" si="21"/>
        <v>-737.25</v>
      </c>
      <c r="H44" s="660">
        <f t="shared" si="16"/>
        <v>-557.48219178082195</v>
      </c>
      <c r="I44" s="673">
        <v>0</v>
      </c>
      <c r="J44" s="667">
        <f t="shared" si="17"/>
        <v>0</v>
      </c>
      <c r="K44" s="673">
        <v>0</v>
      </c>
      <c r="L44" s="667">
        <f t="shared" si="18"/>
        <v>0</v>
      </c>
    </row>
    <row r="45" spans="1:20" ht="20.25" customHeight="1">
      <c r="A45" s="657">
        <f t="shared" si="19"/>
        <v>33</v>
      </c>
      <c r="B45" s="511" t="s">
        <v>768</v>
      </c>
      <c r="C45" s="518" t="s">
        <v>314</v>
      </c>
      <c r="D45" s="665">
        <f t="shared" si="20"/>
        <v>2027</v>
      </c>
      <c r="E45" s="670">
        <f>246/365</f>
        <v>0.67397260273972603</v>
      </c>
      <c r="F45" s="672">
        <f t="shared" si="22"/>
        <v>-737.25</v>
      </c>
      <c r="G45" s="672">
        <f t="shared" si="21"/>
        <v>-737.25</v>
      </c>
      <c r="H45" s="660">
        <f t="shared" si="16"/>
        <v>-496.88630136986302</v>
      </c>
      <c r="I45" s="673">
        <v>0</v>
      </c>
      <c r="J45" s="667">
        <f t="shared" si="17"/>
        <v>0</v>
      </c>
      <c r="K45" s="673">
        <v>0</v>
      </c>
      <c r="L45" s="667">
        <f t="shared" si="18"/>
        <v>0</v>
      </c>
    </row>
    <row r="46" spans="1:20" ht="20.25" customHeight="1">
      <c r="A46" s="657">
        <f t="shared" si="19"/>
        <v>34</v>
      </c>
      <c r="B46" s="511" t="s">
        <v>768</v>
      </c>
      <c r="C46" s="518" t="s">
        <v>315</v>
      </c>
      <c r="D46" s="665">
        <f t="shared" si="20"/>
        <v>2027</v>
      </c>
      <c r="E46" s="670">
        <f>215/365</f>
        <v>0.58904109589041098</v>
      </c>
      <c r="F46" s="672">
        <f t="shared" si="22"/>
        <v>-737.25</v>
      </c>
      <c r="G46" s="672">
        <f t="shared" si="21"/>
        <v>-737.25</v>
      </c>
      <c r="H46" s="660">
        <f t="shared" si="16"/>
        <v>-434.27054794520552</v>
      </c>
      <c r="I46" s="673">
        <v>0</v>
      </c>
      <c r="J46" s="667">
        <f t="shared" si="17"/>
        <v>0</v>
      </c>
      <c r="K46" s="673">
        <v>0</v>
      </c>
      <c r="L46" s="667">
        <f t="shared" si="18"/>
        <v>0</v>
      </c>
    </row>
    <row r="47" spans="1:20" ht="20.25" customHeight="1">
      <c r="A47" s="657">
        <f t="shared" si="19"/>
        <v>35</v>
      </c>
      <c r="B47" s="511" t="s">
        <v>768</v>
      </c>
      <c r="C47" s="518" t="s">
        <v>435</v>
      </c>
      <c r="D47" s="665">
        <f t="shared" si="20"/>
        <v>2027</v>
      </c>
      <c r="E47" s="670">
        <f>185/365</f>
        <v>0.50684931506849318</v>
      </c>
      <c r="F47" s="672">
        <f t="shared" si="22"/>
        <v>-737.25</v>
      </c>
      <c r="G47" s="672">
        <f t="shared" si="21"/>
        <v>-737.25</v>
      </c>
      <c r="H47" s="660">
        <f t="shared" si="16"/>
        <v>-373.67465753424659</v>
      </c>
      <c r="I47" s="673">
        <v>0</v>
      </c>
      <c r="J47" s="667">
        <f t="shared" si="17"/>
        <v>0</v>
      </c>
      <c r="K47" s="673">
        <v>0</v>
      </c>
      <c r="L47" s="667">
        <f t="shared" si="18"/>
        <v>0</v>
      </c>
    </row>
    <row r="48" spans="1:20" ht="20.25" customHeight="1">
      <c r="A48" s="657">
        <f t="shared" si="19"/>
        <v>36</v>
      </c>
      <c r="B48" s="511" t="s">
        <v>768</v>
      </c>
      <c r="C48" s="518" t="s">
        <v>317</v>
      </c>
      <c r="D48" s="665">
        <f t="shared" si="20"/>
        <v>2027</v>
      </c>
      <c r="E48" s="670">
        <f>154/365</f>
        <v>0.42191780821917807</v>
      </c>
      <c r="F48" s="672">
        <f t="shared" si="22"/>
        <v>-737.25</v>
      </c>
      <c r="G48" s="672">
        <f t="shared" si="21"/>
        <v>-737.25</v>
      </c>
      <c r="H48" s="660">
        <f t="shared" si="16"/>
        <v>-311.05890410958904</v>
      </c>
      <c r="I48" s="673">
        <v>0</v>
      </c>
      <c r="J48" s="667">
        <f t="shared" si="17"/>
        <v>0</v>
      </c>
      <c r="K48" s="673">
        <v>0</v>
      </c>
      <c r="L48" s="667">
        <f t="shared" si="18"/>
        <v>0</v>
      </c>
    </row>
    <row r="49" spans="1:12" ht="20.25" customHeight="1">
      <c r="A49" s="657">
        <f t="shared" si="19"/>
        <v>37</v>
      </c>
      <c r="B49" s="511" t="s">
        <v>768</v>
      </c>
      <c r="C49" s="518" t="s">
        <v>318</v>
      </c>
      <c r="D49" s="665">
        <f t="shared" si="20"/>
        <v>2027</v>
      </c>
      <c r="E49" s="670">
        <f>123/365</f>
        <v>0.33698630136986302</v>
      </c>
      <c r="F49" s="672">
        <f t="shared" si="22"/>
        <v>-737.25</v>
      </c>
      <c r="G49" s="672">
        <f t="shared" si="21"/>
        <v>-737.25</v>
      </c>
      <c r="H49" s="660">
        <f t="shared" si="16"/>
        <v>-248.44315068493151</v>
      </c>
      <c r="I49" s="673">
        <v>0</v>
      </c>
      <c r="J49" s="667">
        <f t="shared" si="17"/>
        <v>0</v>
      </c>
      <c r="K49" s="673">
        <v>0</v>
      </c>
      <c r="L49" s="667">
        <f t="shared" si="18"/>
        <v>0</v>
      </c>
    </row>
    <row r="50" spans="1:12" ht="20.25" customHeight="1">
      <c r="A50" s="657">
        <f t="shared" si="19"/>
        <v>38</v>
      </c>
      <c r="B50" s="511" t="s">
        <v>768</v>
      </c>
      <c r="C50" s="518" t="s">
        <v>319</v>
      </c>
      <c r="D50" s="665">
        <f t="shared" si="20"/>
        <v>2027</v>
      </c>
      <c r="E50" s="670">
        <f>93/365</f>
        <v>0.25479452054794521</v>
      </c>
      <c r="F50" s="672">
        <f t="shared" si="22"/>
        <v>-737.25</v>
      </c>
      <c r="G50" s="672">
        <f t="shared" si="21"/>
        <v>-737.25</v>
      </c>
      <c r="H50" s="660">
        <f t="shared" si="16"/>
        <v>-187.84726027397261</v>
      </c>
      <c r="I50" s="673">
        <v>0</v>
      </c>
      <c r="J50" s="667">
        <f t="shared" si="17"/>
        <v>0</v>
      </c>
      <c r="K50" s="673">
        <v>0</v>
      </c>
      <c r="L50" s="667">
        <f t="shared" si="18"/>
        <v>0</v>
      </c>
    </row>
    <row r="51" spans="1:12" ht="20.25" customHeight="1">
      <c r="A51" s="657">
        <f t="shared" si="19"/>
        <v>39</v>
      </c>
      <c r="B51" s="511" t="s">
        <v>768</v>
      </c>
      <c r="C51" s="518" t="s">
        <v>326</v>
      </c>
      <c r="D51" s="665">
        <f t="shared" si="20"/>
        <v>2027</v>
      </c>
      <c r="E51" s="670">
        <f>62/365</f>
        <v>0.16986301369863013</v>
      </c>
      <c r="F51" s="672">
        <f t="shared" si="22"/>
        <v>-737.25</v>
      </c>
      <c r="G51" s="672">
        <f t="shared" si="21"/>
        <v>-737.25</v>
      </c>
      <c r="H51" s="660">
        <f t="shared" si="16"/>
        <v>-125.23150684931507</v>
      </c>
      <c r="I51" s="673">
        <v>0</v>
      </c>
      <c r="J51" s="667">
        <f t="shared" si="17"/>
        <v>0</v>
      </c>
      <c r="K51" s="673">
        <v>0</v>
      </c>
      <c r="L51" s="667">
        <f t="shared" si="18"/>
        <v>0</v>
      </c>
    </row>
    <row r="52" spans="1:12" ht="20.25" customHeight="1">
      <c r="A52" s="657">
        <f t="shared" si="19"/>
        <v>40</v>
      </c>
      <c r="B52" s="511" t="s">
        <v>768</v>
      </c>
      <c r="C52" s="518" t="s">
        <v>321</v>
      </c>
      <c r="D52" s="665">
        <f t="shared" si="20"/>
        <v>2027</v>
      </c>
      <c r="E52" s="670">
        <f>32/365</f>
        <v>8.7671232876712329E-2</v>
      </c>
      <c r="F52" s="672">
        <f t="shared" si="22"/>
        <v>-737.25</v>
      </c>
      <c r="G52" s="672">
        <f t="shared" si="21"/>
        <v>-737.25</v>
      </c>
      <c r="H52" s="660">
        <f t="shared" si="16"/>
        <v>-64.635616438356166</v>
      </c>
      <c r="I52" s="673">
        <v>0</v>
      </c>
      <c r="J52" s="667">
        <f t="shared" si="17"/>
        <v>0</v>
      </c>
      <c r="K52" s="673">
        <v>0</v>
      </c>
      <c r="L52" s="667">
        <f t="shared" si="18"/>
        <v>0</v>
      </c>
    </row>
    <row r="53" spans="1:12" ht="20.25" customHeight="1">
      <c r="A53" s="657">
        <f t="shared" si="19"/>
        <v>41</v>
      </c>
      <c r="B53" s="511" t="s">
        <v>768</v>
      </c>
      <c r="C53" s="518" t="s">
        <v>308</v>
      </c>
      <c r="D53" s="665">
        <f t="shared" si="20"/>
        <v>2027</v>
      </c>
      <c r="E53" s="670">
        <f>1/365</f>
        <v>2.7397260273972603E-3</v>
      </c>
      <c r="F53" s="672">
        <f t="shared" si="22"/>
        <v>-737.25</v>
      </c>
      <c r="G53" s="672">
        <f t="shared" si="21"/>
        <v>-737.25</v>
      </c>
      <c r="H53" s="660">
        <f t="shared" si="16"/>
        <v>-2.0198630136986302</v>
      </c>
      <c r="I53" s="673">
        <v>0</v>
      </c>
      <c r="J53" s="667">
        <f t="shared" si="17"/>
        <v>0</v>
      </c>
      <c r="K53" s="673">
        <v>0</v>
      </c>
      <c r="L53" s="667">
        <f t="shared" si="18"/>
        <v>0</v>
      </c>
    </row>
    <row r="54" spans="1:12" ht="20.25" customHeight="1">
      <c r="A54" s="657">
        <f t="shared" si="19"/>
        <v>42</v>
      </c>
      <c r="B54" s="511" t="s">
        <v>775</v>
      </c>
      <c r="F54" s="660">
        <f t="shared" ref="F54:L54" si="23">SUM(F41:F53)</f>
        <v>-79277</v>
      </c>
      <c r="G54" s="660">
        <f t="shared" si="23"/>
        <v>-79277</v>
      </c>
      <c r="H54" s="660">
        <f t="shared" si="23"/>
        <v>-74528.302054794534</v>
      </c>
      <c r="I54" s="667">
        <f t="shared" si="23"/>
        <v>0</v>
      </c>
      <c r="J54" s="667">
        <f t="shared" si="23"/>
        <v>0</v>
      </c>
      <c r="K54" s="667">
        <f t="shared" si="23"/>
        <v>0</v>
      </c>
      <c r="L54" s="667">
        <f t="shared" si="23"/>
        <v>0</v>
      </c>
    </row>
    <row r="55" spans="1:12">
      <c r="B55" s="518"/>
    </row>
    <row r="56" spans="1:12">
      <c r="B56" s="518"/>
    </row>
    <row r="57" spans="1:12" ht="15.75" customHeight="1">
      <c r="A57" s="674" t="s">
        <v>258</v>
      </c>
      <c r="B57" s="518" t="s">
        <v>776</v>
      </c>
    </row>
    <row r="58" spans="1:12">
      <c r="A58" s="674" t="s">
        <v>260</v>
      </c>
      <c r="B58" s="518" t="s">
        <v>777</v>
      </c>
      <c r="D58" s="675"/>
      <c r="E58" s="675"/>
      <c r="F58" s="675"/>
      <c r="G58" s="675"/>
      <c r="H58" s="675"/>
      <c r="I58" s="676"/>
    </row>
    <row r="59" spans="1:12">
      <c r="A59" s="677" t="s">
        <v>203</v>
      </c>
      <c r="B59" s="518" t="s">
        <v>778</v>
      </c>
      <c r="D59" s="675"/>
      <c r="E59" s="675"/>
      <c r="F59" s="675"/>
      <c r="G59" s="675"/>
      <c r="H59" s="675"/>
      <c r="I59" s="676"/>
    </row>
    <row r="60" spans="1:12">
      <c r="A60" s="677" t="s">
        <v>205</v>
      </c>
      <c r="B60" s="518" t="s">
        <v>779</v>
      </c>
      <c r="D60" s="675"/>
      <c r="E60" s="675"/>
      <c r="F60" s="675"/>
      <c r="G60" s="675"/>
      <c r="H60" s="675"/>
      <c r="I60" s="676"/>
    </row>
    <row r="61" spans="1:12">
      <c r="A61" s="677" t="s">
        <v>207</v>
      </c>
      <c r="B61" s="511" t="s">
        <v>780</v>
      </c>
      <c r="D61" s="526"/>
      <c r="E61" s="526"/>
    </row>
    <row r="62" spans="1:12">
      <c r="D62" s="487"/>
      <c r="E62" s="487"/>
    </row>
    <row r="63" spans="1:12">
      <c r="D63" s="487"/>
      <c r="E63" s="487"/>
    </row>
    <row r="64" spans="1:12">
      <c r="D64" s="487"/>
      <c r="E64" s="487"/>
    </row>
    <row r="65" spans="2:10">
      <c r="D65" s="487"/>
      <c r="E65" s="487"/>
    </row>
    <row r="66" spans="2:10">
      <c r="D66" s="487"/>
      <c r="E66" s="487"/>
      <c r="J66" s="487"/>
    </row>
    <row r="67" spans="2:10">
      <c r="D67" s="487"/>
      <c r="E67" s="487"/>
    </row>
    <row r="68" spans="2:10">
      <c r="D68" s="487"/>
      <c r="E68" s="487"/>
    </row>
    <row r="69" spans="2:10">
      <c r="D69" s="487"/>
      <c r="E69" s="487"/>
    </row>
    <row r="70" spans="2:10">
      <c r="D70" s="487"/>
      <c r="E70" s="487"/>
    </row>
    <row r="71" spans="2:10">
      <c r="D71" s="487"/>
      <c r="E71" s="487"/>
    </row>
    <row r="72" spans="2:10">
      <c r="B72" s="518"/>
      <c r="D72" s="487"/>
      <c r="E72" s="487"/>
    </row>
    <row r="73" spans="2:10">
      <c r="D73" s="487"/>
      <c r="E73" s="487"/>
    </row>
    <row r="74" spans="2:10">
      <c r="B74" s="518"/>
      <c r="D74" s="487"/>
      <c r="E74" s="487"/>
    </row>
    <row r="178" spans="9:9">
      <c r="I178" s="668"/>
    </row>
  </sheetData>
  <mergeCells count="3">
    <mergeCell ref="A1:L1"/>
    <mergeCell ref="A2:L2"/>
    <mergeCell ref="A3:L3"/>
  </mergeCells>
  <pageMargins left="0.7" right="0.7" top="0.75" bottom="0.75" header="0.3" footer="0.3"/>
  <pageSetup scale="41" orientation="landscape"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CE2B7-D9BA-4CD4-AD64-A5315818EB00}">
  <sheetPr>
    <tabColor rgb="FFFF0000"/>
  </sheetPr>
  <dimension ref="A1:U210"/>
  <sheetViews>
    <sheetView view="pageBreakPreview" zoomScale="80" zoomScaleNormal="100" zoomScaleSheetLayoutView="80" workbookViewId="0">
      <selection sqref="A1:H1"/>
    </sheetView>
  </sheetViews>
  <sheetFormatPr defaultColWidth="8.77734375" defaultRowHeight="15.75"/>
  <cols>
    <col min="1" max="1" width="5.109375" style="518" customWidth="1"/>
    <col min="2" max="2" width="51.44140625" style="511" customWidth="1"/>
    <col min="3" max="3" width="22" style="518" customWidth="1"/>
    <col min="4" max="4" width="16.109375" style="518" customWidth="1"/>
    <col min="5" max="5" width="11.77734375" style="518" customWidth="1"/>
    <col min="6" max="6" width="13.77734375" style="518" customWidth="1"/>
    <col min="7" max="7" width="13" style="518" customWidth="1"/>
    <col min="8" max="8" width="77.44140625" style="518" customWidth="1"/>
    <col min="9" max="16384" width="8.77734375" style="650"/>
  </cols>
  <sheetData>
    <row r="1" spans="1:21" ht="18">
      <c r="B1" s="1063" t="s">
        <v>781</v>
      </c>
      <c r="C1" s="1063"/>
      <c r="D1" s="1063"/>
      <c r="E1" s="1063"/>
      <c r="F1" s="1063"/>
      <c r="G1" s="1063"/>
      <c r="H1" s="1063"/>
      <c r="I1" s="652"/>
      <c r="J1" s="652"/>
    </row>
    <row r="2" spans="1:21" ht="18">
      <c r="B2" s="1063" t="str">
        <f>'Appendix III'!$M$7</f>
        <v>For The 12 Months Ended 12/31/2027</v>
      </c>
      <c r="C2" s="1063"/>
      <c r="D2" s="1063"/>
      <c r="E2" s="1063"/>
      <c r="F2" s="1063"/>
      <c r="G2" s="1063"/>
      <c r="H2" s="1063"/>
      <c r="I2" s="652"/>
      <c r="J2" s="652"/>
    </row>
    <row r="3" spans="1:21" ht="18">
      <c r="B3" s="1063"/>
      <c r="C3" s="1063"/>
      <c r="D3" s="1063"/>
      <c r="E3" s="1063"/>
      <c r="F3" s="1063"/>
      <c r="G3" s="1063"/>
      <c r="H3" s="1083"/>
      <c r="I3" s="652"/>
      <c r="J3" s="652"/>
    </row>
    <row r="4" spans="1:21" ht="18">
      <c r="B4" s="518"/>
      <c r="I4" s="652"/>
      <c r="J4" s="652"/>
    </row>
    <row r="5" spans="1:21">
      <c r="D5" s="526"/>
      <c r="E5" s="526"/>
      <c r="G5" s="526"/>
    </row>
    <row r="6" spans="1:21">
      <c r="D6" s="650"/>
      <c r="E6" s="650"/>
      <c r="F6" s="650"/>
      <c r="G6" s="650"/>
      <c r="U6" s="651"/>
    </row>
    <row r="7" spans="1:21" ht="31.5">
      <c r="A7" s="653" t="s">
        <v>724</v>
      </c>
      <c r="B7" s="653" t="s">
        <v>725</v>
      </c>
      <c r="C7" s="654"/>
      <c r="D7" s="655"/>
      <c r="E7" s="656" t="s">
        <v>380</v>
      </c>
      <c r="F7" s="656" t="s">
        <v>726</v>
      </c>
      <c r="G7" s="653" t="s">
        <v>727</v>
      </c>
      <c r="H7" s="654"/>
      <c r="U7" s="651"/>
    </row>
    <row r="8" spans="1:21">
      <c r="B8" s="657"/>
      <c r="D8" s="650"/>
      <c r="L8" s="658"/>
    </row>
    <row r="9" spans="1:21">
      <c r="A9" s="518">
        <v>1</v>
      </c>
      <c r="B9" s="518" t="s">
        <v>746</v>
      </c>
      <c r="D9" s="650"/>
      <c r="E9" s="42">
        <f>+E54</f>
        <v>3494991</v>
      </c>
      <c r="F9" s="42">
        <f>+F54</f>
        <v>0</v>
      </c>
      <c r="G9" s="42">
        <f>+G54</f>
        <v>0</v>
      </c>
      <c r="H9" s="518" t="s">
        <v>782</v>
      </c>
    </row>
    <row r="10" spans="1:21">
      <c r="A10" s="518">
        <f>+A9+1</f>
        <v>2</v>
      </c>
      <c r="B10" s="518" t="s">
        <v>751</v>
      </c>
      <c r="D10" s="650"/>
      <c r="E10" s="42">
        <f>+E78</f>
        <v>609091</v>
      </c>
      <c r="F10" s="42">
        <f>+F78</f>
        <v>0</v>
      </c>
      <c r="G10" s="42">
        <f>+G78</f>
        <v>0</v>
      </c>
      <c r="H10" s="518" t="s">
        <v>783</v>
      </c>
    </row>
    <row r="11" spans="1:21">
      <c r="A11" s="518">
        <f>+A10+1</f>
        <v>3</v>
      </c>
      <c r="B11" s="518" t="s">
        <v>732</v>
      </c>
      <c r="D11" s="650"/>
      <c r="E11" s="42">
        <f>E32</f>
        <v>-70430</v>
      </c>
      <c r="F11" s="42">
        <f>F32</f>
        <v>0</v>
      </c>
      <c r="G11" s="42">
        <f>G32</f>
        <v>0</v>
      </c>
      <c r="H11" s="518" t="s">
        <v>784</v>
      </c>
    </row>
    <row r="12" spans="1:21">
      <c r="A12" s="518">
        <f>+A11+1</f>
        <v>4</v>
      </c>
      <c r="B12" s="518" t="s">
        <v>734</v>
      </c>
      <c r="D12" s="650"/>
      <c r="E12" s="42">
        <f>SUM(E9:E11)</f>
        <v>4033652</v>
      </c>
      <c r="F12" s="42">
        <f>SUM(F9:F11)</f>
        <v>0</v>
      </c>
      <c r="G12" s="42">
        <f>SUM(G9:G11)</f>
        <v>0</v>
      </c>
      <c r="H12" s="659" t="s">
        <v>785</v>
      </c>
    </row>
    <row r="13" spans="1:21">
      <c r="B13" s="518"/>
      <c r="D13" s="659"/>
      <c r="H13" s="42"/>
    </row>
    <row r="14" spans="1:21">
      <c r="B14" s="518"/>
      <c r="H14" s="660"/>
    </row>
    <row r="15" spans="1:21">
      <c r="B15" s="1076" t="s">
        <v>786</v>
      </c>
      <c r="C15" s="1076"/>
      <c r="D15" s="1076"/>
      <c r="E15" s="1076"/>
      <c r="F15" s="1076"/>
      <c r="G15" s="1076"/>
      <c r="H15" s="1076"/>
    </row>
    <row r="16" spans="1:21">
      <c r="C16" s="650"/>
      <c r="D16" s="526"/>
      <c r="E16" s="526"/>
      <c r="F16" s="526"/>
      <c r="G16" s="526"/>
    </row>
    <row r="17" spans="1:8">
      <c r="B17" s="526" t="s">
        <v>203</v>
      </c>
      <c r="C17" s="526" t="s">
        <v>205</v>
      </c>
      <c r="D17" s="526" t="s">
        <v>207</v>
      </c>
      <c r="E17" s="526" t="s">
        <v>209</v>
      </c>
      <c r="F17" s="526" t="s">
        <v>212</v>
      </c>
      <c r="G17" s="526" t="s">
        <v>214</v>
      </c>
      <c r="H17" s="526" t="s">
        <v>221</v>
      </c>
    </row>
    <row r="18" spans="1:8" ht="31.5">
      <c r="B18" s="511" t="s">
        <v>732</v>
      </c>
      <c r="C18" s="529" t="s">
        <v>57</v>
      </c>
      <c r="D18" s="529" t="s">
        <v>787</v>
      </c>
      <c r="E18" s="529" t="s">
        <v>380</v>
      </c>
      <c r="F18" s="529" t="s">
        <v>726</v>
      </c>
      <c r="G18" s="529" t="s">
        <v>727</v>
      </c>
      <c r="H18" s="529" t="s">
        <v>788</v>
      </c>
    </row>
    <row r="19" spans="1:8">
      <c r="A19" s="518">
        <f>A12+1</f>
        <v>5</v>
      </c>
      <c r="B19" s="678"/>
      <c r="C19" s="679"/>
      <c r="D19" s="680"/>
      <c r="E19" s="680"/>
      <c r="F19" s="680"/>
      <c r="G19" s="680"/>
      <c r="H19" s="681"/>
    </row>
    <row r="20" spans="1:8">
      <c r="A20" s="518">
        <f t="shared" ref="A20:A32" si="0">+A19+1</f>
        <v>6</v>
      </c>
      <c r="B20" s="682"/>
      <c r="C20" s="679"/>
      <c r="D20" s="680"/>
      <c r="E20" s="680"/>
      <c r="F20" s="680"/>
      <c r="G20" s="680"/>
      <c r="H20" s="681"/>
    </row>
    <row r="21" spans="1:8">
      <c r="A21" s="518">
        <f t="shared" si="0"/>
        <v>7</v>
      </c>
      <c r="B21" s="682"/>
      <c r="C21" s="679"/>
      <c r="D21" s="680"/>
      <c r="E21" s="680"/>
      <c r="F21" s="680"/>
      <c r="G21" s="680"/>
      <c r="H21" s="681"/>
    </row>
    <row r="22" spans="1:8">
      <c r="A22" s="518">
        <f t="shared" si="0"/>
        <v>8</v>
      </c>
      <c r="B22" s="682"/>
      <c r="C22" s="679"/>
      <c r="D22" s="680"/>
      <c r="E22" s="680"/>
      <c r="F22" s="680"/>
      <c r="G22" s="680"/>
      <c r="H22" s="681"/>
    </row>
    <row r="23" spans="1:8">
      <c r="A23" s="518">
        <f t="shared" si="0"/>
        <v>9</v>
      </c>
      <c r="B23" s="682"/>
      <c r="C23" s="679"/>
      <c r="D23" s="680"/>
      <c r="E23" s="680"/>
      <c r="F23" s="680"/>
      <c r="G23" s="680"/>
      <c r="H23" s="681"/>
    </row>
    <row r="24" spans="1:8">
      <c r="A24" s="518">
        <f t="shared" si="0"/>
        <v>10</v>
      </c>
      <c r="B24" s="682"/>
      <c r="C24" s="679"/>
      <c r="D24" s="680"/>
      <c r="E24" s="680"/>
      <c r="F24" s="680"/>
      <c r="G24" s="680"/>
      <c r="H24" s="681"/>
    </row>
    <row r="25" spans="1:8">
      <c r="A25" s="518">
        <f t="shared" si="0"/>
        <v>11</v>
      </c>
      <c r="B25" s="682"/>
      <c r="C25" s="679"/>
      <c r="D25" s="680"/>
      <c r="E25" s="680"/>
      <c r="F25" s="680"/>
      <c r="G25" s="680"/>
      <c r="H25" s="681"/>
    </row>
    <row r="26" spans="1:8">
      <c r="A26" s="518">
        <f t="shared" si="0"/>
        <v>12</v>
      </c>
      <c r="B26" s="679" t="s">
        <v>789</v>
      </c>
      <c r="C26" s="679">
        <f>E26</f>
        <v>0</v>
      </c>
      <c r="D26" s="683"/>
      <c r="E26" s="680"/>
      <c r="F26" s="680"/>
      <c r="G26" s="680"/>
      <c r="H26" s="681"/>
    </row>
    <row r="27" spans="1:8">
      <c r="A27" s="518">
        <f t="shared" si="0"/>
        <v>13</v>
      </c>
      <c r="B27" s="679" t="s">
        <v>790</v>
      </c>
      <c r="C27" s="679">
        <f>E27</f>
        <v>0</v>
      </c>
      <c r="D27" s="680"/>
      <c r="E27" s="680"/>
      <c r="F27" s="680"/>
      <c r="G27" s="680"/>
      <c r="H27" s="681"/>
    </row>
    <row r="28" spans="1:8">
      <c r="A28" s="518">
        <f t="shared" si="0"/>
        <v>14</v>
      </c>
      <c r="B28" s="684" t="s">
        <v>791</v>
      </c>
      <c r="C28" s="685">
        <f>E28</f>
        <v>-70430</v>
      </c>
      <c r="D28" s="685"/>
      <c r="E28" s="685">
        <v>-70430</v>
      </c>
      <c r="F28" s="685"/>
      <c r="G28" s="685"/>
      <c r="H28" s="686" t="s">
        <v>792</v>
      </c>
    </row>
    <row r="29" spans="1:8">
      <c r="A29" s="518">
        <f t="shared" si="0"/>
        <v>15</v>
      </c>
      <c r="B29" s="687" t="s">
        <v>793</v>
      </c>
      <c r="C29" s="688">
        <f>SUBTOTAL(9,C19:C28)</f>
        <v>-70430</v>
      </c>
      <c r="D29" s="571">
        <f>SUM(D19:D28)</f>
        <v>0</v>
      </c>
      <c r="E29" s="571">
        <f>SUM(E19:E28)</f>
        <v>-70430</v>
      </c>
      <c r="F29" s="571">
        <f>SUM(F19:F28)</f>
        <v>0</v>
      </c>
      <c r="G29" s="571">
        <f>SUM(G19:G28)</f>
        <v>0</v>
      </c>
      <c r="H29" s="689"/>
    </row>
    <row r="30" spans="1:8">
      <c r="A30" s="518">
        <f t="shared" si="0"/>
        <v>16</v>
      </c>
      <c r="B30" s="690" t="s">
        <v>794</v>
      </c>
      <c r="C30" s="691"/>
      <c r="D30" s="691"/>
      <c r="E30" s="691"/>
      <c r="F30" s="692"/>
      <c r="G30" s="693"/>
      <c r="H30" s="681"/>
    </row>
    <row r="31" spans="1:8">
      <c r="A31" s="518">
        <f t="shared" si="0"/>
        <v>17</v>
      </c>
      <c r="B31" s="694" t="s">
        <v>795</v>
      </c>
      <c r="C31" s="695"/>
      <c r="D31" s="695"/>
      <c r="E31" s="695"/>
      <c r="F31" s="695"/>
      <c r="G31" s="695"/>
      <c r="H31" s="696"/>
    </row>
    <row r="32" spans="1:8" ht="16.5" thickBot="1">
      <c r="A32" s="518">
        <f t="shared" si="0"/>
        <v>18</v>
      </c>
      <c r="B32" s="697" t="s">
        <v>57</v>
      </c>
      <c r="C32" s="698">
        <f>+C29-C30-C31</f>
        <v>-70430</v>
      </c>
      <c r="D32" s="698">
        <f>+D29-D30-D31</f>
        <v>0</v>
      </c>
      <c r="E32" s="698">
        <f>+E29-E30-E31</f>
        <v>-70430</v>
      </c>
      <c r="F32" s="698">
        <f>+F29-F30-F31</f>
        <v>0</v>
      </c>
      <c r="G32" s="698">
        <f>+G29-G30-G31</f>
        <v>0</v>
      </c>
      <c r="H32" s="699"/>
    </row>
    <row r="33" spans="1:8" ht="16.5" thickTop="1">
      <c r="B33" s="518" t="s">
        <v>796</v>
      </c>
      <c r="C33" s="659"/>
      <c r="D33" s="700"/>
      <c r="E33" s="526"/>
      <c r="G33" s="701"/>
    </row>
    <row r="34" spans="1:8">
      <c r="B34" s="1084" t="s">
        <v>797</v>
      </c>
      <c r="C34" s="1084"/>
      <c r="D34" s="1084"/>
      <c r="E34" s="1084"/>
      <c r="F34" s="1084"/>
      <c r="G34" s="1084"/>
    </row>
    <row r="35" spans="1:8">
      <c r="B35" s="511" t="s">
        <v>798</v>
      </c>
      <c r="F35" s="526"/>
      <c r="G35" s="526"/>
    </row>
    <row r="36" spans="1:8">
      <c r="B36" s="511" t="s">
        <v>799</v>
      </c>
      <c r="F36" s="526"/>
      <c r="G36" s="526"/>
    </row>
    <row r="37" spans="1:8">
      <c r="B37" s="511" t="s">
        <v>800</v>
      </c>
      <c r="F37" s="526"/>
      <c r="G37" s="526"/>
    </row>
    <row r="38" spans="1:8">
      <c r="B38" s="1084" t="s">
        <v>801</v>
      </c>
      <c r="C38" s="1084"/>
      <c r="D38" s="1084"/>
      <c r="E38" s="1084"/>
      <c r="F38" s="1084"/>
      <c r="G38" s="1084"/>
      <c r="H38" s="702"/>
    </row>
    <row r="39" spans="1:8">
      <c r="B39" s="702"/>
      <c r="C39" s="702"/>
      <c r="D39" s="702"/>
      <c r="E39" s="702"/>
      <c r="F39" s="702"/>
      <c r="G39" s="702"/>
      <c r="H39" s="702"/>
    </row>
    <row r="40" spans="1:8">
      <c r="B40" s="518"/>
    </row>
    <row r="41" spans="1:8">
      <c r="B41" s="526" t="s">
        <v>203</v>
      </c>
      <c r="C41" s="526" t="s">
        <v>205</v>
      </c>
      <c r="D41" s="526" t="s">
        <v>207</v>
      </c>
      <c r="E41" s="526" t="s">
        <v>209</v>
      </c>
      <c r="F41" s="526" t="s">
        <v>212</v>
      </c>
      <c r="G41" s="526" t="s">
        <v>214</v>
      </c>
      <c r="H41" s="526" t="s">
        <v>221</v>
      </c>
    </row>
    <row r="42" spans="1:8" ht="31.5">
      <c r="B42" s="518" t="s">
        <v>802</v>
      </c>
      <c r="C42" s="529" t="s">
        <v>57</v>
      </c>
      <c r="D42" s="529" t="s">
        <v>787</v>
      </c>
      <c r="E42" s="529" t="s">
        <v>380</v>
      </c>
      <c r="F42" s="529" t="s">
        <v>726</v>
      </c>
      <c r="G42" s="529" t="s">
        <v>727</v>
      </c>
      <c r="H42" s="529" t="s">
        <v>788</v>
      </c>
    </row>
    <row r="43" spans="1:8">
      <c r="A43" s="518">
        <f>A32+1</f>
        <v>19</v>
      </c>
      <c r="B43" s="682"/>
      <c r="C43" s="679"/>
      <c r="D43" s="680"/>
      <c r="E43" s="680"/>
      <c r="F43" s="680"/>
      <c r="G43" s="680"/>
      <c r="H43" s="681"/>
    </row>
    <row r="44" spans="1:8">
      <c r="A44" s="518">
        <f t="shared" ref="A44:A54" si="1">+A43+1</f>
        <v>20</v>
      </c>
      <c r="B44" s="682"/>
      <c r="C44" s="679"/>
      <c r="D44" s="680"/>
      <c r="E44" s="680"/>
      <c r="F44" s="680"/>
      <c r="G44" s="680"/>
      <c r="H44" s="681"/>
    </row>
    <row r="45" spans="1:8">
      <c r="A45" s="518">
        <f t="shared" si="1"/>
        <v>21</v>
      </c>
      <c r="B45" s="682"/>
      <c r="C45" s="679"/>
      <c r="D45" s="680"/>
      <c r="E45" s="680"/>
      <c r="F45" s="680"/>
      <c r="G45" s="680"/>
      <c r="H45" s="681"/>
    </row>
    <row r="46" spans="1:8">
      <c r="A46" s="518">
        <f t="shared" si="1"/>
        <v>22</v>
      </c>
      <c r="B46" s="682"/>
      <c r="C46" s="680"/>
      <c r="D46" s="680"/>
      <c r="E46" s="680"/>
      <c r="F46" s="680"/>
      <c r="G46" s="680"/>
      <c r="H46" s="681"/>
    </row>
    <row r="47" spans="1:8">
      <c r="A47" s="518">
        <f t="shared" si="1"/>
        <v>23</v>
      </c>
      <c r="B47" s="682"/>
      <c r="C47" s="680"/>
      <c r="D47" s="680"/>
      <c r="E47" s="680"/>
      <c r="F47" s="680"/>
      <c r="G47" s="680"/>
      <c r="H47" s="681"/>
    </row>
    <row r="48" spans="1:8">
      <c r="A48" s="518">
        <f t="shared" si="1"/>
        <v>24</v>
      </c>
      <c r="B48" s="703" t="s">
        <v>789</v>
      </c>
      <c r="C48" s="703">
        <f>E48</f>
        <v>0</v>
      </c>
      <c r="D48" s="703"/>
      <c r="E48" s="703"/>
      <c r="F48" s="703"/>
      <c r="G48" s="703"/>
      <c r="H48" s="681"/>
    </row>
    <row r="49" spans="1:8">
      <c r="A49" s="518">
        <f t="shared" si="1"/>
        <v>25</v>
      </c>
      <c r="B49" s="703" t="s">
        <v>790</v>
      </c>
      <c r="C49" s="703"/>
      <c r="D49" s="703"/>
      <c r="E49" s="703"/>
      <c r="F49" s="703"/>
      <c r="G49" s="703"/>
      <c r="H49" s="681"/>
    </row>
    <row r="50" spans="1:8">
      <c r="A50" s="518">
        <f t="shared" si="1"/>
        <v>26</v>
      </c>
      <c r="B50" s="684" t="s">
        <v>803</v>
      </c>
      <c r="C50" s="704">
        <f>E50</f>
        <v>3494991</v>
      </c>
      <c r="D50" s="704"/>
      <c r="E50" s="704">
        <v>3494991</v>
      </c>
      <c r="F50" s="704"/>
      <c r="G50" s="704"/>
      <c r="H50" s="686" t="s">
        <v>792</v>
      </c>
    </row>
    <row r="51" spans="1:8">
      <c r="A51" s="518">
        <f t="shared" si="1"/>
        <v>27</v>
      </c>
      <c r="B51" s="705" t="s">
        <v>804</v>
      </c>
      <c r="C51" s="571">
        <f>SUBTOTAL(9,C43:C50)</f>
        <v>3494991</v>
      </c>
      <c r="D51" s="571">
        <f>SUM(D43:D50)</f>
        <v>0</v>
      </c>
      <c r="E51" s="571">
        <f>SUM(E43:E50)</f>
        <v>3494991</v>
      </c>
      <c r="F51" s="571">
        <f>SUM(F43:F50)</f>
        <v>0</v>
      </c>
      <c r="G51" s="571">
        <f>SUM(G43:G50)</f>
        <v>0</v>
      </c>
      <c r="H51" s="689"/>
    </row>
    <row r="52" spans="1:8">
      <c r="A52" s="518">
        <f t="shared" si="1"/>
        <v>28</v>
      </c>
      <c r="B52" s="705" t="s">
        <v>794</v>
      </c>
      <c r="C52" s="691"/>
      <c r="D52" s="691"/>
      <c r="E52" s="691"/>
      <c r="F52" s="691"/>
      <c r="G52" s="691"/>
      <c r="H52" s="681"/>
    </row>
    <row r="53" spans="1:8">
      <c r="A53" s="518">
        <f t="shared" si="1"/>
        <v>29</v>
      </c>
      <c r="B53" s="706" t="s">
        <v>795</v>
      </c>
      <c r="C53" s="695"/>
      <c r="D53" s="695"/>
      <c r="E53" s="695"/>
      <c r="F53" s="695"/>
      <c r="G53" s="695"/>
      <c r="H53" s="696"/>
    </row>
    <row r="54" spans="1:8" ht="16.5" thickBot="1">
      <c r="A54" s="518">
        <f t="shared" si="1"/>
        <v>30</v>
      </c>
      <c r="B54" s="697" t="s">
        <v>57</v>
      </c>
      <c r="C54" s="698">
        <f>+C51-C52-C53</f>
        <v>3494991</v>
      </c>
      <c r="D54" s="698">
        <f>+D51-D52-D53</f>
        <v>0</v>
      </c>
      <c r="E54" s="698">
        <f>+E51-E52-E53</f>
        <v>3494991</v>
      </c>
      <c r="F54" s="698">
        <f>+F51-F52-F53</f>
        <v>0</v>
      </c>
      <c r="G54" s="698">
        <f>+G51-G52-G53</f>
        <v>0</v>
      </c>
      <c r="H54" s="699"/>
    </row>
    <row r="55" spans="1:8" ht="16.5" thickTop="1">
      <c r="B55" s="518" t="s">
        <v>805</v>
      </c>
      <c r="D55" s="526"/>
      <c r="E55" s="700"/>
      <c r="G55" s="702"/>
    </row>
    <row r="56" spans="1:8">
      <c r="B56" s="1084" t="s">
        <v>797</v>
      </c>
      <c r="C56" s="1084"/>
      <c r="D56" s="1084"/>
      <c r="E56" s="1084"/>
      <c r="F56" s="1084"/>
      <c r="G56" s="1084"/>
    </row>
    <row r="57" spans="1:8">
      <c r="B57" s="511" t="s">
        <v>798</v>
      </c>
      <c r="F57" s="526"/>
      <c r="G57" s="526"/>
    </row>
    <row r="58" spans="1:8">
      <c r="B58" s="511" t="s">
        <v>799</v>
      </c>
      <c r="F58" s="526"/>
      <c r="G58" s="526"/>
    </row>
    <row r="59" spans="1:8">
      <c r="B59" s="511" t="s">
        <v>800</v>
      </c>
      <c r="F59" s="526"/>
      <c r="G59" s="526"/>
    </row>
    <row r="60" spans="1:8">
      <c r="B60" s="1084" t="s">
        <v>801</v>
      </c>
      <c r="C60" s="1084"/>
      <c r="D60" s="1084"/>
      <c r="E60" s="1084"/>
      <c r="F60" s="1084"/>
      <c r="G60" s="1084"/>
      <c r="H60" s="702"/>
    </row>
    <row r="61" spans="1:8">
      <c r="H61" s="702"/>
    </row>
    <row r="62" spans="1:8">
      <c r="H62" s="702"/>
    </row>
    <row r="63" spans="1:8">
      <c r="B63" s="526" t="s">
        <v>203</v>
      </c>
      <c r="C63" s="526" t="s">
        <v>205</v>
      </c>
      <c r="D63" s="526" t="s">
        <v>207</v>
      </c>
      <c r="E63" s="526" t="s">
        <v>209</v>
      </c>
      <c r="F63" s="526" t="s">
        <v>212</v>
      </c>
      <c r="G63" s="526" t="s">
        <v>214</v>
      </c>
      <c r="H63" s="526" t="s">
        <v>221</v>
      </c>
    </row>
    <row r="64" spans="1:8" ht="31.5">
      <c r="B64" s="518" t="s">
        <v>806</v>
      </c>
      <c r="C64" s="529" t="s">
        <v>57</v>
      </c>
      <c r="D64" s="529" t="s">
        <v>787</v>
      </c>
      <c r="E64" s="529" t="s">
        <v>380</v>
      </c>
      <c r="F64" s="529" t="s">
        <v>726</v>
      </c>
      <c r="G64" s="529" t="s">
        <v>727</v>
      </c>
      <c r="H64" s="529" t="s">
        <v>788</v>
      </c>
    </row>
    <row r="65" spans="1:10">
      <c r="A65" s="518">
        <f>A54+1</f>
        <v>31</v>
      </c>
      <c r="B65" s="707"/>
      <c r="C65" s="679"/>
      <c r="D65" s="680"/>
      <c r="E65" s="680"/>
      <c r="F65" s="680"/>
      <c r="G65" s="680"/>
      <c r="H65" s="681"/>
    </row>
    <row r="66" spans="1:10">
      <c r="A66" s="518">
        <f t="shared" ref="A66:A78" si="2">+A65+1</f>
        <v>32</v>
      </c>
      <c r="B66" s="682"/>
      <c r="C66" s="679"/>
      <c r="D66" s="680"/>
      <c r="E66" s="680"/>
      <c r="F66" s="680"/>
      <c r="G66" s="680"/>
      <c r="H66" s="681"/>
      <c r="J66" s="708"/>
    </row>
    <row r="67" spans="1:10">
      <c r="A67" s="518">
        <f t="shared" si="2"/>
        <v>33</v>
      </c>
      <c r="B67" s="682"/>
      <c r="C67" s="679"/>
      <c r="D67" s="680"/>
      <c r="E67" s="680"/>
      <c r="F67" s="680"/>
      <c r="G67" s="680"/>
      <c r="H67" s="681"/>
    </row>
    <row r="68" spans="1:10">
      <c r="A68" s="518">
        <f t="shared" si="2"/>
        <v>34</v>
      </c>
      <c r="B68" s="682"/>
      <c r="C68" s="679"/>
      <c r="D68" s="680"/>
      <c r="E68" s="680"/>
      <c r="F68" s="680"/>
      <c r="G68" s="680"/>
      <c r="H68" s="681"/>
    </row>
    <row r="69" spans="1:10">
      <c r="A69" s="518">
        <f t="shared" si="2"/>
        <v>35</v>
      </c>
      <c r="B69" s="682"/>
      <c r="C69" s="680"/>
      <c r="D69" s="703"/>
      <c r="E69" s="680"/>
      <c r="F69" s="680"/>
      <c r="G69" s="680"/>
      <c r="H69" s="681"/>
    </row>
    <row r="70" spans="1:10">
      <c r="A70" s="518">
        <f t="shared" si="2"/>
        <v>36</v>
      </c>
      <c r="B70" s="682"/>
      <c r="C70" s="680"/>
      <c r="D70" s="703"/>
      <c r="E70" s="680"/>
      <c r="F70" s="680"/>
      <c r="G70" s="680"/>
      <c r="H70" s="681"/>
    </row>
    <row r="71" spans="1:10">
      <c r="A71" s="518">
        <f t="shared" si="2"/>
        <v>37</v>
      </c>
      <c r="B71" s="682"/>
      <c r="C71" s="680"/>
      <c r="D71" s="703"/>
      <c r="E71" s="680"/>
      <c r="F71" s="680"/>
      <c r="G71" s="680"/>
      <c r="H71" s="681"/>
    </row>
    <row r="72" spans="1:10">
      <c r="A72" s="518">
        <f t="shared" si="2"/>
        <v>38</v>
      </c>
      <c r="B72" s="680" t="s">
        <v>789</v>
      </c>
      <c r="C72" s="680">
        <f>E72</f>
        <v>0</v>
      </c>
      <c r="D72" s="683"/>
      <c r="E72" s="680"/>
      <c r="F72" s="680"/>
      <c r="G72" s="680"/>
      <c r="H72" s="681"/>
    </row>
    <row r="73" spans="1:10">
      <c r="A73" s="518">
        <f t="shared" si="2"/>
        <v>39</v>
      </c>
      <c r="B73" s="680" t="s">
        <v>790</v>
      </c>
      <c r="C73" s="680">
        <f>E73</f>
        <v>0</v>
      </c>
      <c r="D73" s="680"/>
      <c r="E73" s="680"/>
      <c r="F73" s="680"/>
      <c r="G73" s="680"/>
      <c r="H73" s="681"/>
    </row>
    <row r="74" spans="1:10">
      <c r="A74" s="518">
        <f t="shared" si="2"/>
        <v>40</v>
      </c>
      <c r="B74" s="684" t="s">
        <v>803</v>
      </c>
      <c r="C74" s="704">
        <f>E74</f>
        <v>609091</v>
      </c>
      <c r="D74" s="704"/>
      <c r="E74" s="704">
        <v>609091</v>
      </c>
      <c r="F74" s="704"/>
      <c r="G74" s="704"/>
      <c r="H74" s="686" t="s">
        <v>792</v>
      </c>
    </row>
    <row r="75" spans="1:10">
      <c r="A75" s="518">
        <f t="shared" si="2"/>
        <v>41</v>
      </c>
      <c r="B75" s="687" t="s">
        <v>807</v>
      </c>
      <c r="C75" s="688">
        <f>SUBTOTAL(9,C65:C74)</f>
        <v>609091</v>
      </c>
      <c r="D75" s="688">
        <f>SUM(D65:D74)</f>
        <v>0</v>
      </c>
      <c r="E75" s="688">
        <f>SUM(E65:E74)</f>
        <v>609091</v>
      </c>
      <c r="F75" s="688">
        <f>SUM(F65:F74)</f>
        <v>0</v>
      </c>
      <c r="G75" s="688">
        <f>SUM(G65:G74)</f>
        <v>0</v>
      </c>
      <c r="H75" s="681"/>
    </row>
    <row r="76" spans="1:10">
      <c r="A76" s="518">
        <f t="shared" si="2"/>
        <v>42</v>
      </c>
      <c r="B76" s="687" t="s">
        <v>794</v>
      </c>
      <c r="C76" s="692"/>
      <c r="D76" s="692"/>
      <c r="E76" s="692"/>
      <c r="F76" s="692"/>
      <c r="G76" s="692"/>
      <c r="H76" s="681"/>
    </row>
    <row r="77" spans="1:10">
      <c r="A77" s="518">
        <f t="shared" si="2"/>
        <v>43</v>
      </c>
      <c r="B77" s="709" t="s">
        <v>795</v>
      </c>
      <c r="C77" s="710"/>
      <c r="D77" s="710"/>
      <c r="E77" s="710"/>
      <c r="F77" s="710"/>
      <c r="G77" s="710"/>
      <c r="H77" s="696"/>
    </row>
    <row r="78" spans="1:10" ht="16.5" thickBot="1">
      <c r="A78" s="518">
        <f t="shared" si="2"/>
        <v>44</v>
      </c>
      <c r="B78" s="697" t="s">
        <v>57</v>
      </c>
      <c r="C78" s="711">
        <f>+C75-C76-C77</f>
        <v>609091</v>
      </c>
      <c r="D78" s="711">
        <f>+D75-D76-D77</f>
        <v>0</v>
      </c>
      <c r="E78" s="711">
        <f>+E75-E76-E77</f>
        <v>609091</v>
      </c>
      <c r="F78" s="711">
        <f>+F75-F76-F77</f>
        <v>0</v>
      </c>
      <c r="G78" s="711">
        <f>+G75-G76-G77</f>
        <v>0</v>
      </c>
      <c r="H78" s="699"/>
    </row>
    <row r="79" spans="1:10" ht="16.5" thickTop="1">
      <c r="B79" s="518" t="s">
        <v>808</v>
      </c>
      <c r="E79" s="526"/>
      <c r="F79" s="526"/>
      <c r="H79" s="712"/>
    </row>
    <row r="80" spans="1:10">
      <c r="B80" s="1084" t="s">
        <v>797</v>
      </c>
      <c r="C80" s="1084"/>
      <c r="D80" s="1084"/>
      <c r="E80" s="1084"/>
      <c r="F80" s="1084"/>
      <c r="G80" s="1084"/>
    </row>
    <row r="81" spans="2:9">
      <c r="B81" s="511" t="s">
        <v>798</v>
      </c>
      <c r="F81" s="526"/>
      <c r="G81" s="526"/>
    </row>
    <row r="82" spans="2:9">
      <c r="B82" s="511" t="s">
        <v>799</v>
      </c>
      <c r="F82" s="526"/>
      <c r="G82" s="526"/>
    </row>
    <row r="83" spans="2:9">
      <c r="B83" s="511" t="s">
        <v>800</v>
      </c>
      <c r="F83" s="526"/>
      <c r="G83" s="526"/>
    </row>
    <row r="84" spans="2:9">
      <c r="B84" s="1084" t="s">
        <v>801</v>
      </c>
      <c r="C84" s="1084"/>
      <c r="D84" s="1084"/>
      <c r="E84" s="1084"/>
      <c r="F84" s="1084"/>
      <c r="G84" s="1084"/>
    </row>
    <row r="86" spans="2:9">
      <c r="B86" s="713"/>
      <c r="C86" s="713"/>
      <c r="D86" s="713"/>
      <c r="E86" s="713"/>
      <c r="F86" s="713"/>
      <c r="G86" s="713"/>
      <c r="H86" s="713"/>
    </row>
    <row r="87" spans="2:9">
      <c r="B87" s="1063"/>
      <c r="C87" s="1063"/>
      <c r="D87" s="1063"/>
      <c r="E87" s="1063"/>
      <c r="F87" s="1063"/>
      <c r="G87" s="1063"/>
      <c r="H87" s="1063"/>
    </row>
    <row r="88" spans="2:9">
      <c r="B88" s="518"/>
    </row>
    <row r="89" spans="2:9">
      <c r="B89" s="518"/>
    </row>
    <row r="90" spans="2:9">
      <c r="B90" s="518"/>
    </row>
    <row r="91" spans="2:9">
      <c r="B91" s="518"/>
      <c r="D91" s="675"/>
      <c r="E91" s="675"/>
      <c r="F91" s="675"/>
      <c r="G91" s="675"/>
      <c r="H91" s="675"/>
      <c r="I91" s="676"/>
    </row>
    <row r="92" spans="2:9">
      <c r="B92" s="518"/>
      <c r="D92" s="675"/>
      <c r="E92" s="675"/>
      <c r="F92" s="675"/>
      <c r="G92" s="675"/>
      <c r="H92" s="675"/>
      <c r="I92" s="676"/>
    </row>
    <row r="93" spans="2:9">
      <c r="D93" s="526"/>
      <c r="E93" s="526"/>
    </row>
    <row r="94" spans="2:9">
      <c r="D94" s="487"/>
      <c r="E94" s="487"/>
    </row>
    <row r="95" spans="2:9">
      <c r="D95" s="487"/>
      <c r="E95" s="487"/>
    </row>
    <row r="96" spans="2:9">
      <c r="D96" s="487"/>
      <c r="E96" s="487"/>
    </row>
    <row r="97" spans="2:5">
      <c r="D97" s="487"/>
      <c r="E97" s="487"/>
    </row>
    <row r="98" spans="2:5">
      <c r="D98" s="487"/>
      <c r="E98" s="487"/>
    </row>
    <row r="99" spans="2:5">
      <c r="D99" s="487"/>
      <c r="E99" s="487"/>
    </row>
    <row r="100" spans="2:5">
      <c r="D100" s="487"/>
      <c r="E100" s="487"/>
    </row>
    <row r="101" spans="2:5">
      <c r="D101" s="487"/>
      <c r="E101" s="487"/>
    </row>
    <row r="102" spans="2:5">
      <c r="D102" s="487"/>
      <c r="E102" s="487"/>
    </row>
    <row r="103" spans="2:5">
      <c r="D103" s="487"/>
      <c r="E103" s="487"/>
    </row>
    <row r="104" spans="2:5">
      <c r="B104" s="518"/>
      <c r="D104" s="487"/>
      <c r="E104" s="487"/>
    </row>
    <row r="105" spans="2:5">
      <c r="D105" s="487"/>
      <c r="E105" s="487"/>
    </row>
    <row r="106" spans="2:5">
      <c r="B106" s="518"/>
      <c r="D106" s="487"/>
      <c r="E106" s="487"/>
    </row>
    <row r="210" spans="9:9">
      <c r="I210" s="668"/>
    </row>
  </sheetData>
  <mergeCells count="11">
    <mergeCell ref="B56:G56"/>
    <mergeCell ref="B60:G60"/>
    <mergeCell ref="B80:G80"/>
    <mergeCell ref="B84:G84"/>
    <mergeCell ref="B87:H87"/>
    <mergeCell ref="B38:G38"/>
    <mergeCell ref="B1:H1"/>
    <mergeCell ref="B2:H2"/>
    <mergeCell ref="B3:H3"/>
    <mergeCell ref="B15:H15"/>
    <mergeCell ref="B34:G34"/>
  </mergeCells>
  <pageMargins left="0.7" right="0.7" top="0.75" bottom="0.75" header="0.3" footer="0.3"/>
  <pageSetup scale="48" fitToHeight="2" orientation="landscape" r:id="rId1"/>
  <rowBreaks count="1" manualBreakCount="1">
    <brk id="40" max="7" man="1"/>
  </rowBreaks>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67969-99B2-45A6-877C-8F2341B4F207}">
  <sheetPr>
    <tabColor rgb="FFFF0000"/>
  </sheetPr>
  <dimension ref="A1:U210"/>
  <sheetViews>
    <sheetView view="pageBreakPreview" zoomScale="80" zoomScaleNormal="100" zoomScaleSheetLayoutView="80" workbookViewId="0">
      <selection sqref="A1:H1"/>
    </sheetView>
  </sheetViews>
  <sheetFormatPr defaultColWidth="8.77734375" defaultRowHeight="15.75"/>
  <cols>
    <col min="1" max="1" width="5" style="518" customWidth="1"/>
    <col min="2" max="2" width="49.109375" style="511" customWidth="1"/>
    <col min="3" max="3" width="22" style="518" customWidth="1"/>
    <col min="4" max="4" width="15" style="518" customWidth="1"/>
    <col min="5" max="5" width="12.44140625" style="518" customWidth="1"/>
    <col min="6" max="6" width="11.44140625" style="518" customWidth="1"/>
    <col min="7" max="7" width="14.77734375" style="518" customWidth="1"/>
    <col min="8" max="8" width="79.44140625" style="518" customWidth="1"/>
    <col min="9" max="16384" width="8.77734375" style="650"/>
  </cols>
  <sheetData>
    <row r="1" spans="1:21" ht="18">
      <c r="B1" s="1063" t="s">
        <v>809</v>
      </c>
      <c r="C1" s="1063"/>
      <c r="D1" s="1063"/>
      <c r="E1" s="1063"/>
      <c r="F1" s="1063"/>
      <c r="G1" s="1063"/>
      <c r="H1" s="1063"/>
      <c r="I1" s="652"/>
      <c r="J1" s="652"/>
    </row>
    <row r="2" spans="1:21" ht="18">
      <c r="B2" s="1063" t="str">
        <f>'Appendix III'!$M$7</f>
        <v>For The 12 Months Ended 12/31/2027</v>
      </c>
      <c r="C2" s="1085"/>
      <c r="D2" s="1085"/>
      <c r="E2" s="1085"/>
      <c r="F2" s="1085"/>
      <c r="G2" s="1085"/>
      <c r="H2" s="1085"/>
      <c r="I2" s="652"/>
      <c r="J2" s="652"/>
    </row>
    <row r="3" spans="1:21" ht="18">
      <c r="B3" s="1063"/>
      <c r="C3" s="1063"/>
      <c r="D3" s="1063"/>
      <c r="E3" s="1063"/>
      <c r="F3" s="1063"/>
      <c r="G3" s="1063"/>
      <c r="H3" s="1083"/>
      <c r="I3" s="652"/>
      <c r="J3" s="652"/>
    </row>
    <row r="4" spans="1:21" ht="18">
      <c r="I4" s="652"/>
      <c r="J4" s="652"/>
    </row>
    <row r="5" spans="1:21">
      <c r="D5" s="526"/>
      <c r="E5" s="526"/>
      <c r="G5" s="526"/>
    </row>
    <row r="6" spans="1:21">
      <c r="D6" s="526"/>
      <c r="E6" s="526"/>
      <c r="F6" s="526"/>
      <c r="G6" s="526"/>
      <c r="U6" s="651"/>
    </row>
    <row r="7" spans="1:21" ht="30.75">
      <c r="A7" s="653" t="s">
        <v>724</v>
      </c>
      <c r="B7" s="653" t="s">
        <v>725</v>
      </c>
      <c r="C7" s="654"/>
      <c r="D7" s="655"/>
      <c r="E7" s="714" t="s">
        <v>380</v>
      </c>
      <c r="F7" s="656" t="s">
        <v>726</v>
      </c>
      <c r="G7" s="656" t="s">
        <v>727</v>
      </c>
      <c r="H7" s="654"/>
      <c r="U7" s="651"/>
    </row>
    <row r="8" spans="1:21">
      <c r="A8" s="657"/>
      <c r="L8" s="715"/>
    </row>
    <row r="9" spans="1:21">
      <c r="A9" s="657">
        <v>1</v>
      </c>
      <c r="B9" s="518" t="s">
        <v>802</v>
      </c>
      <c r="E9" s="230">
        <f>+E54</f>
        <v>4150123.6341813691</v>
      </c>
      <c r="F9" s="230">
        <f>+F54</f>
        <v>0</v>
      </c>
      <c r="G9" s="230">
        <f>+G54</f>
        <v>0</v>
      </c>
      <c r="H9" s="518" t="s">
        <v>782</v>
      </c>
    </row>
    <row r="10" spans="1:21">
      <c r="A10" s="657">
        <f>+A9+1</f>
        <v>2</v>
      </c>
      <c r="B10" s="518" t="s">
        <v>751</v>
      </c>
      <c r="E10" s="230">
        <f>+E78</f>
        <v>620281</v>
      </c>
      <c r="F10" s="230">
        <f>+F78</f>
        <v>0</v>
      </c>
      <c r="G10" s="230">
        <f>+G78</f>
        <v>0</v>
      </c>
      <c r="H10" s="518" t="s">
        <v>783</v>
      </c>
    </row>
    <row r="11" spans="1:21">
      <c r="A11" s="657">
        <f>+A10+1</f>
        <v>3</v>
      </c>
      <c r="B11" s="518" t="s">
        <v>732</v>
      </c>
      <c r="E11" s="230">
        <f>E32</f>
        <v>-79277</v>
      </c>
      <c r="F11" s="230">
        <f>F32</f>
        <v>0</v>
      </c>
      <c r="G11" s="230">
        <f>G32</f>
        <v>0</v>
      </c>
      <c r="H11" s="518" t="s">
        <v>784</v>
      </c>
    </row>
    <row r="12" spans="1:21">
      <c r="A12" s="657">
        <f>+A11+1</f>
        <v>4</v>
      </c>
      <c r="B12" s="518" t="s">
        <v>734</v>
      </c>
      <c r="E12" s="230">
        <f>SUM(E9:E11)</f>
        <v>4691127.6341813691</v>
      </c>
      <c r="F12" s="230">
        <f>SUM(F9:F11)</f>
        <v>0</v>
      </c>
      <c r="G12" s="230">
        <f>SUM(G9:G11)</f>
        <v>0</v>
      </c>
      <c r="H12" s="659" t="s">
        <v>785</v>
      </c>
    </row>
    <row r="13" spans="1:21">
      <c r="A13" s="657"/>
      <c r="B13" s="518"/>
      <c r="D13" s="659"/>
      <c r="H13" s="42"/>
    </row>
    <row r="14" spans="1:21">
      <c r="A14" s="657"/>
      <c r="B14" s="518"/>
      <c r="H14" s="660"/>
    </row>
    <row r="15" spans="1:21">
      <c r="A15" s="657"/>
      <c r="B15" s="1076" t="s">
        <v>786</v>
      </c>
      <c r="C15" s="1076"/>
      <c r="D15" s="1076"/>
      <c r="E15" s="1076"/>
      <c r="F15" s="1076"/>
      <c r="G15" s="1076"/>
      <c r="H15" s="1076"/>
    </row>
    <row r="16" spans="1:21">
      <c r="A16" s="657"/>
    </row>
    <row r="17" spans="1:8">
      <c r="A17" s="657"/>
      <c r="B17" s="526" t="s">
        <v>203</v>
      </c>
      <c r="C17" s="526" t="s">
        <v>205</v>
      </c>
      <c r="D17" s="526" t="s">
        <v>207</v>
      </c>
      <c r="E17" s="526" t="s">
        <v>209</v>
      </c>
      <c r="F17" s="526" t="s">
        <v>212</v>
      </c>
      <c r="G17" s="526" t="s">
        <v>214</v>
      </c>
      <c r="H17" s="526" t="s">
        <v>221</v>
      </c>
    </row>
    <row r="18" spans="1:8" ht="31.5">
      <c r="A18" s="657"/>
      <c r="B18" s="511" t="s">
        <v>732</v>
      </c>
      <c r="C18" s="529" t="s">
        <v>57</v>
      </c>
      <c r="D18" s="529" t="s">
        <v>787</v>
      </c>
      <c r="E18" s="529" t="s">
        <v>380</v>
      </c>
      <c r="F18" s="529" t="s">
        <v>726</v>
      </c>
      <c r="G18" s="529" t="s">
        <v>727</v>
      </c>
      <c r="H18" s="529" t="s">
        <v>788</v>
      </c>
    </row>
    <row r="19" spans="1:8">
      <c r="A19" s="657">
        <f>A12+1</f>
        <v>5</v>
      </c>
      <c r="B19" s="678"/>
      <c r="C19" s="679"/>
      <c r="D19" s="680"/>
      <c r="E19" s="680"/>
      <c r="F19" s="680"/>
      <c r="G19" s="680"/>
      <c r="H19" s="681"/>
    </row>
    <row r="20" spans="1:8">
      <c r="A20" s="657">
        <f t="shared" ref="A20:A32" si="0">+A19+1</f>
        <v>6</v>
      </c>
      <c r="B20" s="682"/>
      <c r="C20" s="679"/>
      <c r="D20" s="680"/>
      <c r="E20" s="680"/>
      <c r="F20" s="680"/>
      <c r="G20" s="680"/>
      <c r="H20" s="681"/>
    </row>
    <row r="21" spans="1:8">
      <c r="A21" s="657">
        <f t="shared" si="0"/>
        <v>7</v>
      </c>
      <c r="B21" s="682"/>
      <c r="C21" s="679"/>
      <c r="D21" s="680"/>
      <c r="E21" s="680"/>
      <c r="F21" s="680"/>
      <c r="G21" s="680"/>
      <c r="H21" s="681"/>
    </row>
    <row r="22" spans="1:8">
      <c r="A22" s="657">
        <f t="shared" si="0"/>
        <v>8</v>
      </c>
      <c r="B22" s="682"/>
      <c r="C22" s="679"/>
      <c r="D22" s="680"/>
      <c r="E22" s="680"/>
      <c r="F22" s="680"/>
      <c r="G22" s="680"/>
      <c r="H22" s="681"/>
    </row>
    <row r="23" spans="1:8">
      <c r="A23" s="657">
        <f t="shared" si="0"/>
        <v>9</v>
      </c>
      <c r="B23" s="682"/>
      <c r="C23" s="679"/>
      <c r="D23" s="680"/>
      <c r="E23" s="680"/>
      <c r="F23" s="680"/>
      <c r="G23" s="680"/>
      <c r="H23" s="681"/>
    </row>
    <row r="24" spans="1:8">
      <c r="A24" s="657">
        <f t="shared" si="0"/>
        <v>10</v>
      </c>
      <c r="B24" s="682"/>
      <c r="C24" s="679"/>
      <c r="D24" s="680"/>
      <c r="E24" s="680"/>
      <c r="F24" s="680"/>
      <c r="G24" s="680"/>
      <c r="H24" s="681"/>
    </row>
    <row r="25" spans="1:8">
      <c r="A25" s="657">
        <f t="shared" si="0"/>
        <v>11</v>
      </c>
      <c r="B25" s="682"/>
      <c r="C25" s="679"/>
      <c r="D25" s="680"/>
      <c r="E25" s="680"/>
      <c r="F25" s="680"/>
      <c r="G25" s="680"/>
      <c r="H25" s="681"/>
    </row>
    <row r="26" spans="1:8">
      <c r="A26" s="657">
        <f t="shared" si="0"/>
        <v>12</v>
      </c>
      <c r="B26" s="679" t="s">
        <v>789</v>
      </c>
      <c r="C26" s="679">
        <f>E26</f>
        <v>0</v>
      </c>
      <c r="D26" s="683"/>
      <c r="E26" s="680"/>
      <c r="F26" s="680"/>
      <c r="G26" s="680"/>
      <c r="H26" s="681"/>
    </row>
    <row r="27" spans="1:8">
      <c r="A27" s="657">
        <f t="shared" si="0"/>
        <v>13</v>
      </c>
      <c r="B27" s="679" t="s">
        <v>790</v>
      </c>
      <c r="C27" s="679">
        <f>E27</f>
        <v>0</v>
      </c>
      <c r="D27" s="680"/>
      <c r="E27" s="680"/>
      <c r="F27" s="680"/>
      <c r="G27" s="680"/>
      <c r="H27" s="681"/>
    </row>
    <row r="28" spans="1:8">
      <c r="A28" s="657">
        <f t="shared" si="0"/>
        <v>14</v>
      </c>
      <c r="B28" s="684" t="s">
        <v>791</v>
      </c>
      <c r="C28" s="685">
        <f>E28</f>
        <v>-79277</v>
      </c>
      <c r="D28" s="685"/>
      <c r="E28" s="685">
        <v>-79277</v>
      </c>
      <c r="F28" s="685"/>
      <c r="G28" s="685"/>
      <c r="H28" s="686" t="s">
        <v>792</v>
      </c>
    </row>
    <row r="29" spans="1:8">
      <c r="A29" s="657">
        <f t="shared" si="0"/>
        <v>15</v>
      </c>
      <c r="B29" s="687" t="s">
        <v>810</v>
      </c>
      <c r="C29" s="688">
        <f>SUBTOTAL(9,C19:C28)</f>
        <v>-79277</v>
      </c>
      <c r="D29" s="571">
        <f>SUM(D19:D28)</f>
        <v>0</v>
      </c>
      <c r="E29" s="571">
        <f>SUM(E19:E28)</f>
        <v>-79277</v>
      </c>
      <c r="F29" s="571">
        <f>SUM(F19:F28)</f>
        <v>0</v>
      </c>
      <c r="G29" s="571">
        <f>SUM(G19:G28)</f>
        <v>0</v>
      </c>
      <c r="H29" s="689"/>
    </row>
    <row r="30" spans="1:8">
      <c r="A30" s="657">
        <f t="shared" si="0"/>
        <v>16</v>
      </c>
      <c r="B30" s="690" t="s">
        <v>794</v>
      </c>
      <c r="C30" s="691"/>
      <c r="D30" s="691"/>
      <c r="E30" s="691"/>
      <c r="F30" s="692"/>
      <c r="G30" s="693"/>
      <c r="H30" s="681"/>
    </row>
    <row r="31" spans="1:8">
      <c r="A31" s="657">
        <f t="shared" si="0"/>
        <v>17</v>
      </c>
      <c r="B31" s="694" t="s">
        <v>795</v>
      </c>
      <c r="C31" s="695"/>
      <c r="D31" s="695"/>
      <c r="E31" s="695"/>
      <c r="F31" s="695"/>
      <c r="G31" s="695"/>
      <c r="H31" s="696"/>
    </row>
    <row r="32" spans="1:8" ht="16.5" thickBot="1">
      <c r="A32" s="657">
        <f t="shared" si="0"/>
        <v>18</v>
      </c>
      <c r="B32" s="697" t="s">
        <v>57</v>
      </c>
      <c r="C32" s="698">
        <f>+C29-C30-C31</f>
        <v>-79277</v>
      </c>
      <c r="D32" s="698">
        <f>+D29-D30-D31</f>
        <v>0</v>
      </c>
      <c r="E32" s="698">
        <f>+E29-E30-E31</f>
        <v>-79277</v>
      </c>
      <c r="F32" s="698">
        <f>+F29-F30-F31</f>
        <v>0</v>
      </c>
      <c r="G32" s="698">
        <f>+G29-G30-G31</f>
        <v>0</v>
      </c>
      <c r="H32" s="699"/>
    </row>
    <row r="33" spans="1:8" ht="16.5" thickTop="1">
      <c r="A33" s="657"/>
      <c r="B33" s="518" t="s">
        <v>796</v>
      </c>
      <c r="C33" s="659"/>
      <c r="D33" s="700"/>
      <c r="E33" s="526"/>
      <c r="G33" s="701"/>
    </row>
    <row r="34" spans="1:8">
      <c r="A34" s="657"/>
      <c r="B34" s="1084" t="s">
        <v>797</v>
      </c>
      <c r="C34" s="1084"/>
      <c r="D34" s="1084"/>
      <c r="E34" s="1084"/>
      <c r="F34" s="1084"/>
      <c r="G34" s="1084"/>
    </row>
    <row r="35" spans="1:8">
      <c r="A35" s="657"/>
      <c r="B35" s="511" t="s">
        <v>798</v>
      </c>
      <c r="F35" s="526"/>
      <c r="G35" s="526"/>
    </row>
    <row r="36" spans="1:8">
      <c r="A36" s="657"/>
      <c r="B36" s="511" t="s">
        <v>799</v>
      </c>
      <c r="F36" s="526"/>
      <c r="G36" s="526"/>
    </row>
    <row r="37" spans="1:8">
      <c r="A37" s="657"/>
      <c r="B37" s="511" t="s">
        <v>800</v>
      </c>
      <c r="F37" s="526"/>
      <c r="G37" s="526"/>
    </row>
    <row r="38" spans="1:8">
      <c r="A38" s="657"/>
      <c r="B38" s="1084" t="s">
        <v>811</v>
      </c>
      <c r="C38" s="1084"/>
      <c r="D38" s="1084"/>
      <c r="E38" s="1084"/>
      <c r="F38" s="1084"/>
      <c r="G38" s="1084"/>
      <c r="H38" s="702"/>
    </row>
    <row r="39" spans="1:8">
      <c r="A39" s="657"/>
      <c r="B39" s="702"/>
      <c r="C39" s="702"/>
      <c r="D39" s="702"/>
      <c r="E39" s="702"/>
      <c r="F39" s="702"/>
      <c r="G39" s="702"/>
      <c r="H39" s="702"/>
    </row>
    <row r="40" spans="1:8">
      <c r="A40" s="657"/>
      <c r="B40" s="518"/>
    </row>
    <row r="41" spans="1:8">
      <c r="A41" s="657"/>
      <c r="B41" s="526" t="s">
        <v>203</v>
      </c>
      <c r="C41" s="526" t="s">
        <v>205</v>
      </c>
      <c r="D41" s="526" t="s">
        <v>207</v>
      </c>
      <c r="E41" s="526" t="s">
        <v>209</v>
      </c>
      <c r="F41" s="526" t="s">
        <v>212</v>
      </c>
      <c r="G41" s="526" t="s">
        <v>214</v>
      </c>
      <c r="H41" s="526" t="s">
        <v>221</v>
      </c>
    </row>
    <row r="42" spans="1:8" ht="31.5">
      <c r="A42" s="657"/>
      <c r="B42" s="511" t="s">
        <v>746</v>
      </c>
      <c r="C42" s="529" t="s">
        <v>57</v>
      </c>
      <c r="D42" s="529" t="s">
        <v>787</v>
      </c>
      <c r="E42" s="529" t="s">
        <v>380</v>
      </c>
      <c r="F42" s="529" t="s">
        <v>726</v>
      </c>
      <c r="G42" s="529" t="s">
        <v>727</v>
      </c>
      <c r="H42" s="529" t="s">
        <v>788</v>
      </c>
    </row>
    <row r="43" spans="1:8">
      <c r="A43" s="657">
        <f>A32+1</f>
        <v>19</v>
      </c>
      <c r="B43" s="682"/>
      <c r="C43" s="679"/>
      <c r="D43" s="680"/>
      <c r="E43" s="680"/>
      <c r="F43" s="680"/>
      <c r="G43" s="680"/>
      <c r="H43" s="681"/>
    </row>
    <row r="44" spans="1:8">
      <c r="A44" s="657">
        <f t="shared" ref="A44:A54" si="1">+A43+1</f>
        <v>20</v>
      </c>
      <c r="B44" s="682"/>
      <c r="C44" s="679"/>
      <c r="D44" s="680"/>
      <c r="E44" s="680"/>
      <c r="F44" s="680"/>
      <c r="G44" s="680"/>
      <c r="H44" s="681"/>
    </row>
    <row r="45" spans="1:8">
      <c r="A45" s="657">
        <f t="shared" si="1"/>
        <v>21</v>
      </c>
      <c r="B45" s="682"/>
      <c r="C45" s="679"/>
      <c r="D45" s="680"/>
      <c r="E45" s="680"/>
      <c r="F45" s="680"/>
      <c r="G45" s="680"/>
      <c r="H45" s="681"/>
    </row>
    <row r="46" spans="1:8">
      <c r="A46" s="657">
        <f t="shared" si="1"/>
        <v>22</v>
      </c>
      <c r="B46" s="682"/>
      <c r="C46" s="679"/>
      <c r="D46" s="680"/>
      <c r="E46" s="680"/>
      <c r="F46" s="680"/>
      <c r="G46" s="680"/>
      <c r="H46" s="681"/>
    </row>
    <row r="47" spans="1:8">
      <c r="A47" s="657">
        <f t="shared" si="1"/>
        <v>23</v>
      </c>
      <c r="B47" s="682"/>
      <c r="C47" s="680"/>
      <c r="D47" s="680"/>
      <c r="E47" s="680"/>
      <c r="F47" s="680"/>
      <c r="G47" s="680"/>
      <c r="H47" s="681"/>
    </row>
    <row r="48" spans="1:8">
      <c r="A48" s="657">
        <f t="shared" si="1"/>
        <v>24</v>
      </c>
      <c r="B48" s="679" t="s">
        <v>789</v>
      </c>
      <c r="C48" s="679">
        <f>E48</f>
        <v>0</v>
      </c>
      <c r="D48" s="679"/>
      <c r="E48" s="679"/>
      <c r="F48" s="679"/>
      <c r="G48" s="679"/>
      <c r="H48" s="679"/>
    </row>
    <row r="49" spans="1:8">
      <c r="A49" s="657">
        <f t="shared" si="1"/>
        <v>25</v>
      </c>
      <c r="B49" s="679" t="s">
        <v>790</v>
      </c>
      <c r="C49" s="679"/>
      <c r="D49" s="679"/>
      <c r="E49" s="679"/>
      <c r="F49" s="679"/>
      <c r="G49" s="679"/>
      <c r="H49" s="679"/>
    </row>
    <row r="50" spans="1:8">
      <c r="A50" s="657">
        <f t="shared" si="1"/>
        <v>26</v>
      </c>
      <c r="B50" s="716" t="s">
        <v>803</v>
      </c>
      <c r="C50" s="679">
        <f>E50</f>
        <v>4150123.6341813691</v>
      </c>
      <c r="D50" s="679"/>
      <c r="E50" s="679">
        <v>4150123.6341813691</v>
      </c>
      <c r="F50" s="679"/>
      <c r="G50" s="679"/>
      <c r="H50" s="679"/>
    </row>
    <row r="51" spans="1:8">
      <c r="A51" s="657">
        <f t="shared" si="1"/>
        <v>27</v>
      </c>
      <c r="B51" s="705" t="s">
        <v>812</v>
      </c>
      <c r="C51" s="571">
        <f>SUBTOTAL(9,C43:C50)</f>
        <v>4150123.6341813691</v>
      </c>
      <c r="D51" s="571">
        <f>SUM(D43:D50)</f>
        <v>0</v>
      </c>
      <c r="E51" s="571">
        <f>SUM(E43:E50)</f>
        <v>4150123.6341813691</v>
      </c>
      <c r="F51" s="571">
        <f>SUM(F43:F50)</f>
        <v>0</v>
      </c>
      <c r="G51" s="571">
        <f>SUM(G43:G50)</f>
        <v>0</v>
      </c>
      <c r="H51" s="689"/>
    </row>
    <row r="52" spans="1:8">
      <c r="A52" s="657">
        <f t="shared" si="1"/>
        <v>28</v>
      </c>
      <c r="B52" s="705" t="s">
        <v>794</v>
      </c>
      <c r="C52" s="691"/>
      <c r="D52" s="691"/>
      <c r="E52" s="691"/>
      <c r="F52" s="691"/>
      <c r="G52" s="691"/>
      <c r="H52" s="681"/>
    </row>
    <row r="53" spans="1:8">
      <c r="A53" s="657">
        <f t="shared" si="1"/>
        <v>29</v>
      </c>
      <c r="B53" s="706" t="s">
        <v>795</v>
      </c>
      <c r="C53" s="695"/>
      <c r="D53" s="695"/>
      <c r="E53" s="695"/>
      <c r="F53" s="695"/>
      <c r="G53" s="695"/>
      <c r="H53" s="696"/>
    </row>
    <row r="54" spans="1:8" ht="16.5" thickBot="1">
      <c r="A54" s="657">
        <f t="shared" si="1"/>
        <v>30</v>
      </c>
      <c r="B54" s="697" t="s">
        <v>57</v>
      </c>
      <c r="C54" s="698">
        <f>+C51-C52-C53</f>
        <v>4150123.6341813691</v>
      </c>
      <c r="D54" s="698">
        <f>+D51-D52-D53</f>
        <v>0</v>
      </c>
      <c r="E54" s="698">
        <f>+E51-E52-E53</f>
        <v>4150123.6341813691</v>
      </c>
      <c r="F54" s="698">
        <f>+F51-F52-F53</f>
        <v>0</v>
      </c>
      <c r="G54" s="698">
        <f>+G51-G52-G53</f>
        <v>0</v>
      </c>
      <c r="H54" s="699"/>
    </row>
    <row r="55" spans="1:8" ht="16.5" thickTop="1">
      <c r="A55" s="657"/>
      <c r="B55" s="518" t="s">
        <v>805</v>
      </c>
      <c r="D55" s="526"/>
      <c r="E55" s="700"/>
      <c r="G55" s="702"/>
    </row>
    <row r="56" spans="1:8">
      <c r="A56" s="657"/>
      <c r="B56" s="1084" t="s">
        <v>797</v>
      </c>
      <c r="C56" s="1084"/>
      <c r="D56" s="1084"/>
      <c r="E56" s="1084"/>
      <c r="F56" s="1084"/>
      <c r="G56" s="1084"/>
    </row>
    <row r="57" spans="1:8">
      <c r="A57" s="657"/>
      <c r="B57" s="511" t="s">
        <v>798</v>
      </c>
      <c r="F57" s="526"/>
      <c r="G57" s="526"/>
    </row>
    <row r="58" spans="1:8">
      <c r="A58" s="657"/>
      <c r="B58" s="511" t="s">
        <v>799</v>
      </c>
      <c r="F58" s="526"/>
      <c r="G58" s="526"/>
    </row>
    <row r="59" spans="1:8">
      <c r="A59" s="657"/>
      <c r="B59" s="511" t="s">
        <v>800</v>
      </c>
      <c r="F59" s="526"/>
      <c r="G59" s="526"/>
    </row>
    <row r="60" spans="1:8">
      <c r="A60" s="657"/>
      <c r="B60" s="1084" t="s">
        <v>801</v>
      </c>
      <c r="C60" s="1084"/>
      <c r="D60" s="1084"/>
      <c r="E60" s="1084"/>
      <c r="F60" s="1084"/>
      <c r="G60" s="1084"/>
      <c r="H60" s="702"/>
    </row>
    <row r="61" spans="1:8">
      <c r="A61" s="657"/>
      <c r="H61" s="702"/>
    </row>
    <row r="62" spans="1:8">
      <c r="A62" s="657"/>
      <c r="H62" s="702"/>
    </row>
    <row r="63" spans="1:8">
      <c r="A63" s="657"/>
      <c r="B63" s="526" t="s">
        <v>203</v>
      </c>
      <c r="C63" s="526" t="s">
        <v>205</v>
      </c>
      <c r="D63" s="526" t="s">
        <v>207</v>
      </c>
      <c r="E63" s="526" t="s">
        <v>209</v>
      </c>
      <c r="F63" s="526" t="s">
        <v>212</v>
      </c>
      <c r="G63" s="526" t="s">
        <v>214</v>
      </c>
      <c r="H63" s="526" t="s">
        <v>221</v>
      </c>
    </row>
    <row r="64" spans="1:8" ht="31.5">
      <c r="A64" s="657"/>
      <c r="B64" s="511" t="s">
        <v>751</v>
      </c>
      <c r="C64" s="529" t="s">
        <v>57</v>
      </c>
      <c r="D64" s="529" t="s">
        <v>787</v>
      </c>
      <c r="E64" s="529" t="s">
        <v>380</v>
      </c>
      <c r="F64" s="529" t="s">
        <v>726</v>
      </c>
      <c r="G64" s="529" t="s">
        <v>727</v>
      </c>
      <c r="H64" s="529" t="s">
        <v>788</v>
      </c>
    </row>
    <row r="65" spans="1:10">
      <c r="A65" s="657">
        <f>A54+1</f>
        <v>31</v>
      </c>
      <c r="B65" s="707"/>
      <c r="C65" s="679"/>
      <c r="D65" s="680"/>
      <c r="E65" s="680"/>
      <c r="F65" s="680"/>
      <c r="G65" s="680"/>
      <c r="H65" s="681"/>
    </row>
    <row r="66" spans="1:10">
      <c r="A66" s="657">
        <f t="shared" ref="A66:A78" si="2">+A65+1</f>
        <v>32</v>
      </c>
      <c r="B66" s="682"/>
      <c r="C66" s="679"/>
      <c r="D66" s="680"/>
      <c r="E66" s="680"/>
      <c r="F66" s="680"/>
      <c r="G66" s="680"/>
      <c r="H66" s="681"/>
      <c r="J66" s="708"/>
    </row>
    <row r="67" spans="1:10">
      <c r="A67" s="657">
        <f t="shared" si="2"/>
        <v>33</v>
      </c>
      <c r="B67" s="682"/>
      <c r="C67" s="679"/>
      <c r="D67" s="680"/>
      <c r="E67" s="680"/>
      <c r="F67" s="680"/>
      <c r="G67" s="680"/>
      <c r="H67" s="681"/>
    </row>
    <row r="68" spans="1:10">
      <c r="A68" s="657">
        <f t="shared" si="2"/>
        <v>34</v>
      </c>
      <c r="B68" s="682"/>
      <c r="C68" s="679"/>
      <c r="D68" s="680"/>
      <c r="E68" s="680"/>
      <c r="F68" s="680"/>
      <c r="G68" s="680"/>
      <c r="H68" s="681"/>
    </row>
    <row r="69" spans="1:10">
      <c r="A69" s="657">
        <f t="shared" si="2"/>
        <v>35</v>
      </c>
      <c r="B69" s="682"/>
      <c r="C69" s="680"/>
      <c r="D69" s="703"/>
      <c r="E69" s="680"/>
      <c r="F69" s="680"/>
      <c r="G69" s="680"/>
      <c r="H69" s="681"/>
    </row>
    <row r="70" spans="1:10">
      <c r="A70" s="657">
        <f t="shared" si="2"/>
        <v>36</v>
      </c>
      <c r="B70" s="682"/>
      <c r="C70" s="680"/>
      <c r="D70" s="703"/>
      <c r="E70" s="680"/>
      <c r="F70" s="680"/>
      <c r="G70" s="680"/>
      <c r="H70" s="681"/>
    </row>
    <row r="71" spans="1:10">
      <c r="A71" s="657">
        <f t="shared" si="2"/>
        <v>37</v>
      </c>
      <c r="B71" s="682"/>
      <c r="C71" s="680"/>
      <c r="D71" s="703"/>
      <c r="E71" s="680"/>
      <c r="F71" s="680"/>
      <c r="G71" s="680"/>
      <c r="H71" s="681"/>
    </row>
    <row r="72" spans="1:10">
      <c r="A72" s="657">
        <f t="shared" si="2"/>
        <v>38</v>
      </c>
      <c r="B72" s="680" t="s">
        <v>789</v>
      </c>
      <c r="C72" s="680"/>
      <c r="D72" s="683"/>
      <c r="E72" s="680"/>
      <c r="F72" s="680"/>
      <c r="G72" s="680"/>
      <c r="H72" s="681"/>
    </row>
    <row r="73" spans="1:10">
      <c r="A73" s="657">
        <f t="shared" si="2"/>
        <v>39</v>
      </c>
      <c r="B73" s="680" t="s">
        <v>790</v>
      </c>
      <c r="C73" s="680">
        <f>E73</f>
        <v>0</v>
      </c>
      <c r="D73" s="680"/>
      <c r="E73" s="680"/>
      <c r="F73" s="680"/>
      <c r="G73" s="680"/>
      <c r="H73" s="681"/>
    </row>
    <row r="74" spans="1:10">
      <c r="A74" s="657">
        <f t="shared" si="2"/>
        <v>40</v>
      </c>
      <c r="B74" s="684" t="s">
        <v>803</v>
      </c>
      <c r="C74" s="704">
        <f>E74</f>
        <v>620281</v>
      </c>
      <c r="D74" s="704"/>
      <c r="E74" s="704">
        <v>620281</v>
      </c>
      <c r="F74" s="704"/>
      <c r="G74" s="704"/>
      <c r="H74" s="686" t="s">
        <v>792</v>
      </c>
    </row>
    <row r="75" spans="1:10">
      <c r="A75" s="657">
        <f t="shared" si="2"/>
        <v>41</v>
      </c>
      <c r="B75" s="687" t="s">
        <v>813</v>
      </c>
      <c r="C75" s="688">
        <f>SUBTOTAL(9,C65:C74)</f>
        <v>620281</v>
      </c>
      <c r="D75" s="688">
        <f>SUM(D65:D74)</f>
        <v>0</v>
      </c>
      <c r="E75" s="688">
        <f>SUM(E65:E74)</f>
        <v>620281</v>
      </c>
      <c r="F75" s="688">
        <f>SUM(F65:F74)</f>
        <v>0</v>
      </c>
      <c r="G75" s="688">
        <f>SUM(G65:G74)</f>
        <v>0</v>
      </c>
      <c r="H75" s="681"/>
    </row>
    <row r="76" spans="1:10">
      <c r="A76" s="657">
        <f t="shared" si="2"/>
        <v>42</v>
      </c>
      <c r="B76" s="687" t="s">
        <v>794</v>
      </c>
      <c r="C76" s="692"/>
      <c r="D76" s="692"/>
      <c r="E76" s="692"/>
      <c r="F76" s="692"/>
      <c r="G76" s="692"/>
      <c r="H76" s="681"/>
    </row>
    <row r="77" spans="1:10">
      <c r="A77" s="657">
        <f t="shared" si="2"/>
        <v>43</v>
      </c>
      <c r="B77" s="709" t="s">
        <v>795</v>
      </c>
      <c r="C77" s="710"/>
      <c r="D77" s="710"/>
      <c r="E77" s="710"/>
      <c r="F77" s="710"/>
      <c r="G77" s="710"/>
      <c r="H77" s="696"/>
    </row>
    <row r="78" spans="1:10" ht="16.5" thickBot="1">
      <c r="A78" s="657">
        <f t="shared" si="2"/>
        <v>44</v>
      </c>
      <c r="B78" s="697" t="s">
        <v>57</v>
      </c>
      <c r="C78" s="711">
        <f>+C75-C76-C77</f>
        <v>620281</v>
      </c>
      <c r="D78" s="711">
        <f>+D75-D76-D77</f>
        <v>0</v>
      </c>
      <c r="E78" s="711">
        <f>+E75-E76-E77</f>
        <v>620281</v>
      </c>
      <c r="F78" s="711">
        <f>+F75-F76-F77</f>
        <v>0</v>
      </c>
      <c r="G78" s="711">
        <f>+G75-G76-G77</f>
        <v>0</v>
      </c>
      <c r="H78" s="699"/>
    </row>
    <row r="79" spans="1:10" ht="16.5" thickTop="1">
      <c r="A79" s="657"/>
      <c r="B79" s="518" t="s">
        <v>808</v>
      </c>
      <c r="E79" s="526"/>
      <c r="F79" s="526"/>
      <c r="H79" s="712"/>
    </row>
    <row r="80" spans="1:10">
      <c r="A80" s="657"/>
      <c r="B80" s="1084" t="s">
        <v>797</v>
      </c>
      <c r="C80" s="1084"/>
      <c r="D80" s="1084"/>
      <c r="E80" s="1084"/>
      <c r="F80" s="1084"/>
      <c r="G80" s="1084"/>
    </row>
    <row r="81" spans="1:9">
      <c r="A81" s="657"/>
      <c r="B81" s="511" t="s">
        <v>798</v>
      </c>
      <c r="F81" s="526"/>
      <c r="G81" s="526"/>
    </row>
    <row r="82" spans="1:9">
      <c r="A82" s="657"/>
      <c r="B82" s="511" t="s">
        <v>799</v>
      </c>
      <c r="F82" s="526"/>
      <c r="G82" s="526"/>
    </row>
    <row r="83" spans="1:9">
      <c r="A83" s="657"/>
      <c r="B83" s="511" t="s">
        <v>800</v>
      </c>
      <c r="F83" s="526"/>
      <c r="G83" s="526"/>
    </row>
    <row r="84" spans="1:9">
      <c r="A84" s="657"/>
      <c r="B84" s="1084" t="s">
        <v>801</v>
      </c>
      <c r="C84" s="1084"/>
      <c r="D84" s="1084"/>
      <c r="E84" s="1084"/>
      <c r="F84" s="1084"/>
      <c r="G84" s="1084"/>
    </row>
    <row r="86" spans="1:9">
      <c r="B86" s="713"/>
      <c r="C86" s="713"/>
      <c r="D86" s="713"/>
      <c r="E86" s="713"/>
      <c r="F86" s="713"/>
      <c r="G86" s="713"/>
      <c r="H86" s="713"/>
    </row>
    <row r="87" spans="1:9">
      <c r="B87" s="1063"/>
      <c r="C87" s="1063"/>
      <c r="D87" s="1063"/>
      <c r="E87" s="1063"/>
      <c r="F87" s="1063"/>
      <c r="G87" s="1063"/>
      <c r="H87" s="1063"/>
    </row>
    <row r="88" spans="1:9">
      <c r="B88" s="518"/>
    </row>
    <row r="89" spans="1:9">
      <c r="B89" s="518"/>
    </row>
    <row r="90" spans="1:9">
      <c r="B90" s="518"/>
    </row>
    <row r="91" spans="1:9">
      <c r="B91" s="518"/>
      <c r="D91" s="675"/>
      <c r="E91" s="675"/>
      <c r="F91" s="675"/>
      <c r="G91" s="675"/>
      <c r="H91" s="675"/>
      <c r="I91" s="676"/>
    </row>
    <row r="92" spans="1:9">
      <c r="B92" s="518"/>
      <c r="D92" s="675"/>
      <c r="E92" s="675"/>
      <c r="F92" s="675"/>
      <c r="G92" s="675"/>
      <c r="H92" s="675"/>
      <c r="I92" s="676"/>
    </row>
    <row r="93" spans="1:9">
      <c r="D93" s="526"/>
      <c r="E93" s="526"/>
    </row>
    <row r="94" spans="1:9">
      <c r="D94" s="487"/>
      <c r="E94" s="487"/>
    </row>
    <row r="95" spans="1:9">
      <c r="D95" s="487"/>
      <c r="E95" s="487"/>
    </row>
    <row r="96" spans="1:9">
      <c r="D96" s="487"/>
      <c r="E96" s="487"/>
    </row>
    <row r="97" spans="2:5">
      <c r="D97" s="487"/>
      <c r="E97" s="487"/>
    </row>
    <row r="98" spans="2:5">
      <c r="D98" s="487"/>
      <c r="E98" s="487"/>
    </row>
    <row r="99" spans="2:5">
      <c r="D99" s="487"/>
      <c r="E99" s="487"/>
    </row>
    <row r="100" spans="2:5">
      <c r="D100" s="487"/>
      <c r="E100" s="487"/>
    </row>
    <row r="101" spans="2:5">
      <c r="D101" s="487"/>
      <c r="E101" s="487"/>
    </row>
    <row r="102" spans="2:5">
      <c r="D102" s="487"/>
      <c r="E102" s="487"/>
    </row>
    <row r="103" spans="2:5">
      <c r="D103" s="487"/>
      <c r="E103" s="487"/>
    </row>
    <row r="104" spans="2:5">
      <c r="B104" s="518"/>
      <c r="D104" s="487"/>
      <c r="E104" s="487"/>
    </row>
    <row r="105" spans="2:5">
      <c r="D105" s="487"/>
      <c r="E105" s="487"/>
    </row>
    <row r="106" spans="2:5">
      <c r="B106" s="518"/>
      <c r="D106" s="487"/>
      <c r="E106" s="487"/>
    </row>
    <row r="210" spans="9:9">
      <c r="I210" s="668"/>
    </row>
  </sheetData>
  <mergeCells count="11">
    <mergeCell ref="B56:G56"/>
    <mergeCell ref="B60:G60"/>
    <mergeCell ref="B80:G80"/>
    <mergeCell ref="B84:G84"/>
    <mergeCell ref="B87:H87"/>
    <mergeCell ref="B38:G38"/>
    <mergeCell ref="B1:H1"/>
    <mergeCell ref="B2:H2"/>
    <mergeCell ref="B3:H3"/>
    <mergeCell ref="B15:H15"/>
    <mergeCell ref="B34:G34"/>
  </mergeCells>
  <pageMargins left="0.7" right="0.7" top="0.75" bottom="0.75" header="0.3" footer="0.3"/>
  <pageSetup scale="49" fitToHeight="2" orientation="landscape" r:id="rId1"/>
  <rowBreaks count="1" manualBreakCount="1">
    <brk id="40" max="7" man="1"/>
  </rowBreaks>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A5F3E-E751-4AB7-84DD-1063CA484804}">
  <sheetPr>
    <tabColor rgb="FFFF0000"/>
    <pageSetUpPr fitToPage="1"/>
  </sheetPr>
  <dimension ref="A1:T152"/>
  <sheetViews>
    <sheetView view="pageBreakPreview" zoomScale="90" zoomScaleNormal="100" zoomScaleSheetLayoutView="90" workbookViewId="0">
      <selection sqref="A1:I1"/>
    </sheetView>
  </sheetViews>
  <sheetFormatPr defaultColWidth="8.77734375" defaultRowHeight="15.75"/>
  <cols>
    <col min="1" max="1" width="5.44140625" style="518" customWidth="1"/>
    <col min="2" max="2" width="38.109375" style="511" customWidth="1"/>
    <col min="3" max="3" width="10.44140625" style="518" bestFit="1" customWidth="1"/>
    <col min="4" max="4" width="9.77734375" style="518" bestFit="1" customWidth="1"/>
    <col min="5" max="5" width="16.109375" style="518" customWidth="1"/>
    <col min="6" max="6" width="12" style="518" customWidth="1"/>
    <col min="7" max="7" width="11.77734375" style="518" customWidth="1"/>
    <col min="8" max="8" width="14" style="650" customWidth="1"/>
    <col min="9" max="9" width="33.44140625" style="650" customWidth="1"/>
    <col min="10" max="10" width="8.77734375" style="650"/>
    <col min="11" max="11" width="12" style="650" customWidth="1"/>
    <col min="12" max="12" width="12.77734375" style="650" customWidth="1"/>
    <col min="13" max="16384" width="8.77734375" style="650"/>
  </cols>
  <sheetData>
    <row r="1" spans="1:20" ht="18" customHeight="1">
      <c r="A1" s="1063" t="s">
        <v>814</v>
      </c>
      <c r="B1" s="1063"/>
      <c r="C1" s="1063"/>
      <c r="D1" s="1063"/>
      <c r="E1" s="1063"/>
      <c r="F1" s="1063"/>
      <c r="G1" s="1063"/>
      <c r="H1" s="1063"/>
      <c r="I1" s="1063"/>
      <c r="J1" s="518"/>
      <c r="K1" s="518"/>
      <c r="L1" s="518"/>
    </row>
    <row r="2" spans="1:20" ht="18" customHeight="1">
      <c r="A2" s="1064" t="str">
        <f>+'Appendix III'!E7</f>
        <v>GridLiance West LLC (GLW)</v>
      </c>
      <c r="B2" s="1064"/>
      <c r="C2" s="1064"/>
      <c r="D2" s="1064"/>
      <c r="E2" s="1064"/>
      <c r="F2" s="1064"/>
      <c r="G2" s="1064"/>
      <c r="H2" s="1064"/>
      <c r="I2" s="1064"/>
      <c r="J2" s="534"/>
      <c r="K2" s="534"/>
      <c r="L2" s="534"/>
    </row>
    <row r="3" spans="1:20" ht="18" customHeight="1">
      <c r="A3" s="1063" t="str">
        <f>'Appendix III'!$M$7</f>
        <v>For The 12 Months Ended 12/31/2027</v>
      </c>
      <c r="B3" s="1063"/>
      <c r="C3" s="1063"/>
      <c r="D3" s="1063"/>
      <c r="E3" s="1063"/>
      <c r="F3" s="1063"/>
      <c r="G3" s="1063"/>
      <c r="H3" s="1083"/>
      <c r="I3" s="1063"/>
      <c r="J3" s="518"/>
      <c r="K3" s="518"/>
      <c r="L3" s="518"/>
    </row>
    <row r="4" spans="1:20" ht="18" customHeight="1">
      <c r="A4" s="526"/>
      <c r="B4" s="526"/>
      <c r="C4" s="526"/>
      <c r="D4" s="526"/>
      <c r="E4" s="526"/>
      <c r="F4" s="526"/>
      <c r="G4" s="526"/>
      <c r="H4" s="526"/>
      <c r="I4" s="526"/>
      <c r="J4" s="518"/>
      <c r="K4" s="518"/>
      <c r="L4" s="518"/>
    </row>
    <row r="5" spans="1:20" ht="18">
      <c r="B5" s="526" t="s">
        <v>203</v>
      </c>
      <c r="C5" s="526"/>
      <c r="D5" s="651"/>
      <c r="E5" s="651" t="s">
        <v>205</v>
      </c>
      <c r="F5" s="651" t="s">
        <v>207</v>
      </c>
      <c r="G5" s="651" t="s">
        <v>209</v>
      </c>
      <c r="H5" s="651" t="s">
        <v>212</v>
      </c>
      <c r="I5" s="652"/>
    </row>
    <row r="6" spans="1:20">
      <c r="B6" s="650"/>
      <c r="C6" s="650"/>
      <c r="D6" s="650"/>
      <c r="E6" s="650"/>
      <c r="F6" s="650"/>
      <c r="G6" s="650"/>
      <c r="H6" s="651" t="s">
        <v>723</v>
      </c>
      <c r="I6" s="518"/>
      <c r="T6" s="651"/>
    </row>
    <row r="7" spans="1:20" ht="31.5">
      <c r="A7" s="653" t="s">
        <v>724</v>
      </c>
      <c r="B7" s="653" t="s">
        <v>725</v>
      </c>
      <c r="C7" s="654"/>
      <c r="D7" s="655"/>
      <c r="E7" s="656" t="s">
        <v>380</v>
      </c>
      <c r="F7" s="656" t="s">
        <v>726</v>
      </c>
      <c r="G7" s="656" t="s">
        <v>727</v>
      </c>
      <c r="H7" s="656" t="s">
        <v>815</v>
      </c>
      <c r="I7" s="654"/>
      <c r="T7" s="651"/>
    </row>
    <row r="8" spans="1:20">
      <c r="B8" s="657"/>
      <c r="D8" s="650"/>
      <c r="H8" s="518"/>
      <c r="I8" s="518"/>
      <c r="L8" s="658"/>
    </row>
    <row r="9" spans="1:20" ht="20.25" customHeight="1">
      <c r="A9" s="518">
        <v>1</v>
      </c>
      <c r="B9" s="518" t="s">
        <v>746</v>
      </c>
      <c r="D9" s="650"/>
      <c r="E9" s="42">
        <f>F25</f>
        <v>-351647.67647497688</v>
      </c>
      <c r="F9" s="42">
        <f t="shared" ref="F9:G9" si="0">G25</f>
        <v>0</v>
      </c>
      <c r="G9" s="42">
        <f t="shared" si="0"/>
        <v>0</v>
      </c>
      <c r="H9" s="42"/>
      <c r="I9" s="518" t="s">
        <v>729</v>
      </c>
    </row>
    <row r="10" spans="1:20" ht="20.25" customHeight="1">
      <c r="A10" s="518">
        <f t="shared" ref="A10:A16" si="1">+A9+1</f>
        <v>2</v>
      </c>
      <c r="B10" s="518" t="s">
        <v>751</v>
      </c>
      <c r="D10" s="650"/>
      <c r="E10" s="42">
        <f>F31</f>
        <v>-6006.321917808219</v>
      </c>
      <c r="F10" s="42">
        <f>G31</f>
        <v>0</v>
      </c>
      <c r="G10" s="42">
        <f>H31</f>
        <v>0</v>
      </c>
      <c r="H10" s="42"/>
      <c r="I10" s="518" t="s">
        <v>731</v>
      </c>
    </row>
    <row r="11" spans="1:20" ht="20.25" customHeight="1">
      <c r="A11" s="518">
        <f t="shared" si="1"/>
        <v>3</v>
      </c>
      <c r="B11" s="518" t="s">
        <v>732</v>
      </c>
      <c r="D11" s="650"/>
      <c r="E11" s="42">
        <f>F37</f>
        <v>325.1979452054793</v>
      </c>
      <c r="F11" s="42">
        <f>G37</f>
        <v>0</v>
      </c>
      <c r="G11" s="42">
        <f>H37</f>
        <v>0</v>
      </c>
      <c r="H11" s="42"/>
      <c r="I11" s="518" t="s">
        <v>733</v>
      </c>
    </row>
    <row r="12" spans="1:20" ht="20.25" customHeight="1">
      <c r="A12" s="518">
        <f t="shared" si="1"/>
        <v>4</v>
      </c>
      <c r="B12" s="518" t="s">
        <v>734</v>
      </c>
      <c r="D12" s="650"/>
      <c r="E12" s="42">
        <f>SUM(E9:E11)</f>
        <v>-357328.80044757959</v>
      </c>
      <c r="F12" s="42">
        <f>SUM(F9:F11)</f>
        <v>0</v>
      </c>
      <c r="G12" s="42">
        <f>SUM(G9:G11)</f>
        <v>0</v>
      </c>
      <c r="H12" s="42"/>
      <c r="I12" s="659" t="s">
        <v>735</v>
      </c>
    </row>
    <row r="13" spans="1:20" ht="20.25" customHeight="1">
      <c r="A13" s="518">
        <f t="shared" si="1"/>
        <v>5</v>
      </c>
      <c r="B13" s="518" t="s">
        <v>816</v>
      </c>
      <c r="D13" s="650"/>
      <c r="G13" s="230">
        <v>0</v>
      </c>
      <c r="H13" s="518"/>
      <c r="I13" s="518" t="s">
        <v>737</v>
      </c>
    </row>
    <row r="14" spans="1:20" ht="20.25" customHeight="1">
      <c r="A14" s="518">
        <f t="shared" si="1"/>
        <v>6</v>
      </c>
      <c r="B14" s="518" t="s">
        <v>738</v>
      </c>
      <c r="D14" s="650"/>
      <c r="F14" s="660">
        <v>0</v>
      </c>
      <c r="H14" s="518"/>
      <c r="I14" s="518" t="s">
        <v>739</v>
      </c>
    </row>
    <row r="15" spans="1:20" ht="20.25" customHeight="1">
      <c r="A15" s="518">
        <f t="shared" si="1"/>
        <v>7</v>
      </c>
      <c r="B15" s="518" t="s">
        <v>740</v>
      </c>
      <c r="D15" s="650"/>
      <c r="E15" s="660">
        <v>1</v>
      </c>
      <c r="F15" s="660"/>
      <c r="H15" s="518"/>
      <c r="I15" s="661">
        <v>1</v>
      </c>
    </row>
    <row r="16" spans="1:20" ht="37.9" customHeight="1">
      <c r="A16" s="518">
        <f t="shared" si="1"/>
        <v>8</v>
      </c>
      <c r="B16" s="518" t="s">
        <v>817</v>
      </c>
      <c r="D16" s="650"/>
      <c r="E16" s="42">
        <f>+E12*E15</f>
        <v>-357328.80044757959</v>
      </c>
      <c r="F16" s="42">
        <f>+F14*F12</f>
        <v>0</v>
      </c>
      <c r="G16" s="42">
        <f>+G13*G12</f>
        <v>0</v>
      </c>
      <c r="H16" s="42">
        <f>+E16+F16+G16</f>
        <v>-357328.80044757959</v>
      </c>
      <c r="I16" s="662" t="s">
        <v>742</v>
      </c>
    </row>
    <row r="17" spans="1:17">
      <c r="B17" s="518"/>
      <c r="D17" s="650"/>
      <c r="E17" s="42"/>
      <c r="F17" s="42"/>
      <c r="G17" s="42"/>
      <c r="H17" s="42"/>
      <c r="I17" s="662"/>
    </row>
    <row r="18" spans="1:17">
      <c r="B18" s="518"/>
      <c r="D18" s="659"/>
      <c r="G18" s="42"/>
      <c r="I18" s="651"/>
    </row>
    <row r="19" spans="1:17">
      <c r="B19" s="526" t="s">
        <v>188</v>
      </c>
      <c r="C19" s="526" t="s">
        <v>523</v>
      </c>
      <c r="D19" s="526" t="s">
        <v>524</v>
      </c>
      <c r="E19" s="526" t="s">
        <v>525</v>
      </c>
      <c r="F19" s="526" t="s">
        <v>526</v>
      </c>
      <c r="G19" s="651" t="s">
        <v>527</v>
      </c>
      <c r="H19" s="651" t="s">
        <v>528</v>
      </c>
      <c r="I19" s="651"/>
    </row>
    <row r="20" spans="1:17" ht="31.5">
      <c r="A20" s="663"/>
      <c r="B20" s="664" t="s">
        <v>743</v>
      </c>
      <c r="C20" s="664" t="s">
        <v>744</v>
      </c>
      <c r="D20" s="664" t="s">
        <v>306</v>
      </c>
      <c r="E20" s="664" t="s">
        <v>745</v>
      </c>
      <c r="F20" s="664" t="s">
        <v>380</v>
      </c>
      <c r="G20" s="664" t="s">
        <v>726</v>
      </c>
      <c r="H20" s="664" t="s">
        <v>727</v>
      </c>
      <c r="I20" s="664"/>
      <c r="Q20" s="651"/>
    </row>
    <row r="21" spans="1:17">
      <c r="A21" s="518" t="s">
        <v>746</v>
      </c>
      <c r="D21" s="526"/>
      <c r="E21" s="526"/>
      <c r="F21" s="526"/>
      <c r="G21" s="650"/>
      <c r="Q21" s="651"/>
    </row>
    <row r="22" spans="1:17" ht="20.25" customHeight="1">
      <c r="A22" s="657">
        <f>A16+1</f>
        <v>9</v>
      </c>
      <c r="B22" s="511" t="s">
        <v>747</v>
      </c>
      <c r="C22" s="518" t="s">
        <v>308</v>
      </c>
      <c r="D22" s="665">
        <f>YEAR(EDATE('Appendix III'!$N$7,-12))</f>
        <v>2026</v>
      </c>
      <c r="E22" s="42">
        <f>'6c- ADIT BOY'!C54</f>
        <v>3494991</v>
      </c>
      <c r="F22" s="42">
        <f>'6c- ADIT BOY'!E54</f>
        <v>3494991</v>
      </c>
      <c r="G22" s="230">
        <f>'6c- ADIT BOY'!F54</f>
        <v>0</v>
      </c>
      <c r="H22" s="230">
        <f>'6c- ADIT BOY'!G54</f>
        <v>0</v>
      </c>
      <c r="I22" s="666"/>
    </row>
    <row r="23" spans="1:17" ht="20.25" customHeight="1">
      <c r="A23" s="657">
        <f>A22+1</f>
        <v>10</v>
      </c>
      <c r="B23" s="511" t="s">
        <v>818</v>
      </c>
      <c r="C23" s="518" t="s">
        <v>308</v>
      </c>
      <c r="D23" s="665">
        <f>YEAR('Appendix III'!$N$7)</f>
        <v>2027</v>
      </c>
      <c r="E23" s="230">
        <f>'6d- ADIT EOY'!C54-'6d- ADIT EOY'!C51</f>
        <v>0</v>
      </c>
      <c r="F23" s="230">
        <f>'6d- ADIT EOY'!E54-'6d- ADIT EOY'!E51</f>
        <v>0</v>
      </c>
      <c r="G23" s="230">
        <f>'6d- ADIT EOY'!F54-'6d- ADIT EOY'!F51</f>
        <v>0</v>
      </c>
      <c r="H23" s="230">
        <f>'6d- ADIT EOY'!G54-'6d- ADIT EOY'!G51</f>
        <v>0</v>
      </c>
      <c r="I23" s="666"/>
    </row>
    <row r="24" spans="1:17" ht="20.25" customHeight="1">
      <c r="A24" s="657">
        <f>A23+1</f>
        <v>11</v>
      </c>
      <c r="B24" s="511" t="s">
        <v>819</v>
      </c>
      <c r="C24" s="518" t="s">
        <v>308</v>
      </c>
      <c r="D24" s="665">
        <f>D23</f>
        <v>2027</v>
      </c>
      <c r="E24" s="42">
        <f>'6f-ADIT True-up Proration'!F22</f>
        <v>655132.6341813691</v>
      </c>
      <c r="F24" s="42">
        <f>'6f-ADIT True-up Proration'!N21</f>
        <v>-351647.67647497688</v>
      </c>
      <c r="G24" s="42">
        <f>'6f-ADIT True-up Proration'!W21</f>
        <v>0</v>
      </c>
      <c r="H24" s="42">
        <f>'6f-ADIT True-up Proration'!AF21</f>
        <v>0</v>
      </c>
      <c r="I24" s="717"/>
    </row>
    <row r="25" spans="1:17">
      <c r="A25" s="657">
        <f>A24+1</f>
        <v>12</v>
      </c>
      <c r="B25" s="511" t="s">
        <v>820</v>
      </c>
      <c r="D25" s="718"/>
      <c r="E25" s="42">
        <f>E23+E24</f>
        <v>655132.6341813691</v>
      </c>
      <c r="F25" s="42">
        <f t="shared" ref="F25:H25" si="2">F23+F24</f>
        <v>-351647.67647497688</v>
      </c>
      <c r="G25" s="42">
        <f t="shared" si="2"/>
        <v>0</v>
      </c>
      <c r="H25" s="42">
        <f t="shared" si="2"/>
        <v>0</v>
      </c>
      <c r="I25" s="717"/>
    </row>
    <row r="26" spans="1:17">
      <c r="A26" s="657"/>
      <c r="G26" s="650"/>
    </row>
    <row r="27" spans="1:17" ht="20.25" customHeight="1">
      <c r="A27" s="518" t="s">
        <v>751</v>
      </c>
      <c r="G27" s="650"/>
    </row>
    <row r="28" spans="1:17" ht="20.25" customHeight="1">
      <c r="A28" s="657">
        <f>A25+1</f>
        <v>13</v>
      </c>
      <c r="B28" s="511" t="s">
        <v>752</v>
      </c>
      <c r="C28" s="518" t="s">
        <v>308</v>
      </c>
      <c r="D28" s="665">
        <f>D22</f>
        <v>2026</v>
      </c>
      <c r="E28" s="42">
        <f>'6c- ADIT BOY'!C78</f>
        <v>609091</v>
      </c>
      <c r="F28" s="42">
        <f>'6c- ADIT BOY'!E78</f>
        <v>609091</v>
      </c>
      <c r="G28" s="42">
        <f>'6c- ADIT BOY'!F78</f>
        <v>0</v>
      </c>
      <c r="H28" s="42">
        <f>'6c- ADIT BOY'!G78</f>
        <v>0</v>
      </c>
      <c r="I28" s="666"/>
    </row>
    <row r="29" spans="1:17" ht="20.25" customHeight="1">
      <c r="A29" s="657">
        <f>A28+1</f>
        <v>14</v>
      </c>
      <c r="B29" s="511" t="s">
        <v>821</v>
      </c>
      <c r="C29" s="518" t="s">
        <v>308</v>
      </c>
      <c r="D29" s="665">
        <f t="shared" ref="D29:D30" si="3">D23</f>
        <v>2027</v>
      </c>
      <c r="E29" s="42">
        <f>'6d- ADIT EOY'!C78-'6d- ADIT EOY'!C75</f>
        <v>0</v>
      </c>
      <c r="F29" s="42">
        <f>'6d- ADIT EOY'!E78-'6d- ADIT EOY'!E75</f>
        <v>0</v>
      </c>
      <c r="G29" s="42">
        <f>'6d- ADIT EOY'!F78-'6d- ADIT EOY'!F75</f>
        <v>0</v>
      </c>
      <c r="H29" s="42">
        <f>'6d- ADIT EOY'!G78-'6d- ADIT EOY'!G75</f>
        <v>0</v>
      </c>
      <c r="I29" s="666"/>
    </row>
    <row r="30" spans="1:17">
      <c r="A30" s="657">
        <f t="shared" ref="A30:A31" si="4">A29+1</f>
        <v>15</v>
      </c>
      <c r="B30" s="511" t="s">
        <v>822</v>
      </c>
      <c r="C30" s="518" t="s">
        <v>308</v>
      </c>
      <c r="D30" s="665">
        <f t="shared" si="3"/>
        <v>2027</v>
      </c>
      <c r="E30" s="42">
        <f>'6f-ADIT True-up Proration'!F38</f>
        <v>11190</v>
      </c>
      <c r="F30" s="42">
        <f>'6f-ADIT True-up Proration'!N37</f>
        <v>-6006.321917808219</v>
      </c>
      <c r="G30" s="42">
        <f>'6f-ADIT True-up Proration'!W37</f>
        <v>0</v>
      </c>
      <c r="H30" s="42">
        <f>'6f-ADIT True-up Proration'!AF37</f>
        <v>0</v>
      </c>
      <c r="I30" s="666"/>
    </row>
    <row r="31" spans="1:17">
      <c r="A31" s="657">
        <f t="shared" si="4"/>
        <v>16</v>
      </c>
      <c r="B31" s="511" t="s">
        <v>823</v>
      </c>
      <c r="E31" s="530">
        <f>E29+E30</f>
        <v>11190</v>
      </c>
      <c r="F31" s="530">
        <f t="shared" ref="F31:H31" si="5">F29+F30</f>
        <v>-6006.321917808219</v>
      </c>
      <c r="G31" s="530">
        <f t="shared" si="5"/>
        <v>0</v>
      </c>
      <c r="H31" s="530">
        <f t="shared" si="5"/>
        <v>0</v>
      </c>
      <c r="I31" s="667"/>
    </row>
    <row r="32" spans="1:17" ht="20.25" customHeight="1">
      <c r="A32" s="657"/>
      <c r="G32" s="650"/>
    </row>
    <row r="33" spans="1:9" ht="20.25" customHeight="1">
      <c r="A33" s="518" t="s">
        <v>732</v>
      </c>
      <c r="G33" s="650"/>
    </row>
    <row r="34" spans="1:9" ht="20.25" customHeight="1">
      <c r="A34" s="657">
        <f>A31+1</f>
        <v>17</v>
      </c>
      <c r="B34" s="511" t="s">
        <v>756</v>
      </c>
      <c r="C34" s="518" t="s">
        <v>308</v>
      </c>
      <c r="D34" s="665">
        <f>D28</f>
        <v>2026</v>
      </c>
      <c r="E34" s="42">
        <f>'6c- ADIT BOY'!C32</f>
        <v>-70430</v>
      </c>
      <c r="F34" s="42">
        <f>'6c- ADIT BOY'!E32</f>
        <v>-70430</v>
      </c>
      <c r="G34" s="42">
        <f>'6c- ADIT BOY'!F32</f>
        <v>0</v>
      </c>
      <c r="H34" s="42">
        <f>'6c- ADIT BOY'!G32</f>
        <v>0</v>
      </c>
      <c r="I34" s="666"/>
    </row>
    <row r="35" spans="1:9">
      <c r="A35" s="657">
        <f>A34+1</f>
        <v>18</v>
      </c>
      <c r="B35" s="511" t="s">
        <v>824</v>
      </c>
      <c r="C35" s="518" t="s">
        <v>308</v>
      </c>
      <c r="D35" s="665">
        <f t="shared" ref="D35:D36" si="6">D29</f>
        <v>2027</v>
      </c>
      <c r="E35" s="42">
        <f>'6d- ADIT EOY'!C32-'6d- ADIT EOY'!C29</f>
        <v>0</v>
      </c>
      <c r="F35" s="42">
        <f>'6d- ADIT EOY'!E32-'6d- ADIT EOY'!E29</f>
        <v>0</v>
      </c>
      <c r="G35" s="42">
        <f>'6d- ADIT EOY'!F32-'6d- ADIT EOY'!F29</f>
        <v>0</v>
      </c>
      <c r="H35" s="42">
        <f>'6d- ADIT EOY'!G32-'6d- ADIT EOY'!G29</f>
        <v>0</v>
      </c>
      <c r="I35" s="666"/>
    </row>
    <row r="36" spans="1:9">
      <c r="A36" s="657">
        <f t="shared" ref="A36:A37" si="7">A35+1</f>
        <v>19</v>
      </c>
      <c r="B36" s="511" t="s">
        <v>825</v>
      </c>
      <c r="C36" s="518" t="s">
        <v>308</v>
      </c>
      <c r="D36" s="665">
        <f t="shared" si="6"/>
        <v>2027</v>
      </c>
      <c r="E36" s="42">
        <f>'6f-ADIT True-up Proration'!F54</f>
        <v>-8847</v>
      </c>
      <c r="F36" s="42">
        <f>'6f-ADIT True-up Proration'!N53</f>
        <v>325.1979452054793</v>
      </c>
      <c r="G36" s="42">
        <f>'6f-ADIT True-up Proration'!W53</f>
        <v>0</v>
      </c>
      <c r="H36" s="42">
        <f>'6f-ADIT True-up Proration'!AF53</f>
        <v>0</v>
      </c>
      <c r="I36" s="666"/>
    </row>
    <row r="37" spans="1:9">
      <c r="A37" s="657">
        <f t="shared" si="7"/>
        <v>20</v>
      </c>
      <c r="B37" s="511" t="s">
        <v>826</v>
      </c>
      <c r="E37" s="530">
        <f>E35+E36</f>
        <v>-8847</v>
      </c>
      <c r="F37" s="530">
        <f t="shared" ref="F37:H37" si="8">F35+F36</f>
        <v>325.1979452054793</v>
      </c>
      <c r="G37" s="530">
        <f t="shared" si="8"/>
        <v>0</v>
      </c>
      <c r="H37" s="530">
        <f t="shared" si="8"/>
        <v>0</v>
      </c>
      <c r="I37" s="667"/>
    </row>
    <row r="38" spans="1:9">
      <c r="D38" s="487"/>
    </row>
    <row r="39" spans="1:9">
      <c r="D39" s="487"/>
    </row>
    <row r="40" spans="1:9">
      <c r="D40" s="487"/>
    </row>
    <row r="41" spans="1:9">
      <c r="D41" s="487"/>
    </row>
    <row r="42" spans="1:9">
      <c r="D42" s="487"/>
    </row>
    <row r="43" spans="1:9">
      <c r="D43" s="487"/>
    </row>
    <row r="44" spans="1:9">
      <c r="D44" s="487"/>
    </row>
    <row r="45" spans="1:9">
      <c r="D45" s="487"/>
    </row>
    <row r="46" spans="1:9">
      <c r="B46" s="518"/>
      <c r="D46" s="487"/>
    </row>
    <row r="47" spans="1:9">
      <c r="D47" s="487"/>
    </row>
    <row r="48" spans="1:9">
      <c r="B48" s="518"/>
      <c r="D48" s="487"/>
    </row>
    <row r="66" spans="10:10">
      <c r="J66" s="518"/>
    </row>
    <row r="152" spans="8:8">
      <c r="H152" s="668"/>
    </row>
  </sheetData>
  <mergeCells count="3">
    <mergeCell ref="A1:I1"/>
    <mergeCell ref="A2:I2"/>
    <mergeCell ref="A3:I3"/>
  </mergeCells>
  <pageMargins left="0.7" right="0.7" top="0.75" bottom="0.75" header="0.3" footer="0.3"/>
  <pageSetup scale="66" orientation="landscape" r:id="rId1"/>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A5132-EB22-4C7D-BB4E-70E512FCCFB8}">
  <sheetPr>
    <tabColor rgb="FFFF0000"/>
  </sheetPr>
  <dimension ref="A1:AG74"/>
  <sheetViews>
    <sheetView view="pageBreakPreview" zoomScale="90" zoomScaleNormal="100" zoomScaleSheetLayoutView="90" workbookViewId="0">
      <selection sqref="A1:N1"/>
    </sheetView>
  </sheetViews>
  <sheetFormatPr defaultColWidth="8.77734375" defaultRowHeight="12.75"/>
  <cols>
    <col min="1" max="1" width="5.44140625" style="720" customWidth="1"/>
    <col min="2" max="2" width="31" style="724" customWidth="1"/>
    <col min="3" max="3" width="10.44140625" style="720" customWidth="1"/>
    <col min="4" max="4" width="9.77734375" style="720" customWidth="1"/>
    <col min="5" max="5" width="10" style="720" customWidth="1"/>
    <col min="6" max="32" width="10.44140625" style="720" customWidth="1"/>
    <col min="33" max="16384" width="8.77734375" style="720"/>
  </cols>
  <sheetData>
    <row r="1" spans="1:33">
      <c r="A1" s="1089" t="s">
        <v>827</v>
      </c>
      <c r="B1" s="1089"/>
      <c r="C1" s="1089"/>
      <c r="D1" s="1089"/>
      <c r="E1" s="1089"/>
      <c r="F1" s="1089"/>
      <c r="G1" s="1089"/>
      <c r="H1" s="1089"/>
      <c r="I1" s="1089"/>
      <c r="J1" s="1089"/>
      <c r="K1" s="1089"/>
      <c r="L1" s="1089"/>
      <c r="M1" s="1089"/>
      <c r="N1" s="1089"/>
      <c r="P1" s="721"/>
    </row>
    <row r="2" spans="1:33">
      <c r="A2" s="1089" t="str">
        <f>'Appendix III'!E7</f>
        <v>GridLiance West LLC (GLW)</v>
      </c>
      <c r="B2" s="1089"/>
      <c r="C2" s="1089"/>
      <c r="D2" s="1089"/>
      <c r="E2" s="1089"/>
      <c r="F2" s="1089"/>
      <c r="G2" s="1089"/>
      <c r="H2" s="1089"/>
      <c r="I2" s="1089"/>
      <c r="J2" s="1089"/>
      <c r="K2" s="1089"/>
      <c r="L2" s="1089"/>
      <c r="M2" s="1089"/>
      <c r="N2" s="1089"/>
      <c r="O2" s="721"/>
      <c r="P2" s="722"/>
      <c r="Q2" s="721"/>
    </row>
    <row r="3" spans="1:33">
      <c r="A3" s="1089" t="str">
        <f>'Appendix III'!$M$7</f>
        <v>For The 12 Months Ended 12/31/2027</v>
      </c>
      <c r="B3" s="1089"/>
      <c r="C3" s="1089"/>
      <c r="D3" s="1089"/>
      <c r="E3" s="1089"/>
      <c r="F3" s="1089"/>
      <c r="G3" s="1089"/>
      <c r="H3" s="1089"/>
      <c r="I3" s="1089"/>
      <c r="J3" s="1089"/>
      <c r="K3" s="1089"/>
      <c r="L3" s="1089"/>
      <c r="M3" s="1089"/>
      <c r="N3" s="1089"/>
      <c r="O3" s="721"/>
      <c r="P3" s="722"/>
      <c r="Q3" s="723"/>
      <c r="R3" s="723"/>
    </row>
    <row r="4" spans="1:33" ht="13.5" thickBot="1">
      <c r="A4" s="719"/>
      <c r="B4" s="719"/>
      <c r="C4" s="719"/>
      <c r="D4" s="719"/>
      <c r="E4" s="719"/>
      <c r="F4" s="719"/>
      <c r="G4" s="719"/>
      <c r="H4" s="719"/>
      <c r="I4" s="719"/>
      <c r="J4" s="719"/>
      <c r="K4" s="719"/>
      <c r="L4" s="719"/>
      <c r="M4" s="719"/>
      <c r="N4" s="719"/>
      <c r="O4" s="721"/>
      <c r="P4" s="723"/>
      <c r="Q4" s="723"/>
      <c r="R4" s="723"/>
    </row>
    <row r="5" spans="1:33">
      <c r="F5" s="1086" t="s">
        <v>66</v>
      </c>
      <c r="G5" s="1087"/>
      <c r="H5" s="1087"/>
      <c r="I5" s="1087"/>
      <c r="J5" s="1087"/>
      <c r="K5" s="1087"/>
      <c r="L5" s="1087"/>
      <c r="M5" s="1087"/>
      <c r="N5" s="1088"/>
      <c r="O5" s="1086" t="s">
        <v>726</v>
      </c>
      <c r="P5" s="1087"/>
      <c r="Q5" s="1087"/>
      <c r="R5" s="1087"/>
      <c r="S5" s="1087"/>
      <c r="T5" s="1087"/>
      <c r="U5" s="1087"/>
      <c r="V5" s="1087"/>
      <c r="W5" s="1088"/>
      <c r="X5" s="1086" t="s">
        <v>727</v>
      </c>
      <c r="Y5" s="1087"/>
      <c r="Z5" s="1087"/>
      <c r="AA5" s="1087"/>
      <c r="AB5" s="1087"/>
      <c r="AC5" s="1087"/>
      <c r="AD5" s="1087"/>
      <c r="AE5" s="1087"/>
      <c r="AF5" s="1088"/>
      <c r="AG5" s="719"/>
    </row>
    <row r="6" spans="1:33">
      <c r="B6" s="719" t="s">
        <v>188</v>
      </c>
      <c r="C6" s="719" t="s">
        <v>523</v>
      </c>
      <c r="D6" s="719" t="s">
        <v>524</v>
      </c>
      <c r="E6" s="719" t="s">
        <v>525</v>
      </c>
      <c r="F6" s="725" t="s">
        <v>526</v>
      </c>
      <c r="G6" s="719" t="s">
        <v>527</v>
      </c>
      <c r="H6" s="719" t="s">
        <v>528</v>
      </c>
      <c r="I6" s="719" t="s">
        <v>529</v>
      </c>
      <c r="J6" s="726" t="s">
        <v>530</v>
      </c>
      <c r="K6" s="726" t="s">
        <v>531</v>
      </c>
      <c r="L6" s="726" t="s">
        <v>532</v>
      </c>
      <c r="M6" s="726" t="s">
        <v>533</v>
      </c>
      <c r="N6" s="727" t="s">
        <v>534</v>
      </c>
      <c r="O6" s="725" t="s">
        <v>526</v>
      </c>
      <c r="P6" s="719" t="s">
        <v>527</v>
      </c>
      <c r="Q6" s="719" t="s">
        <v>528</v>
      </c>
      <c r="R6" s="719" t="s">
        <v>529</v>
      </c>
      <c r="S6" s="726" t="s">
        <v>530</v>
      </c>
      <c r="T6" s="726" t="s">
        <v>531</v>
      </c>
      <c r="U6" s="726" t="s">
        <v>532</v>
      </c>
      <c r="V6" s="726" t="s">
        <v>533</v>
      </c>
      <c r="W6" s="727" t="s">
        <v>534</v>
      </c>
      <c r="X6" s="725" t="s">
        <v>526</v>
      </c>
      <c r="Y6" s="719" t="s">
        <v>527</v>
      </c>
      <c r="Z6" s="719" t="s">
        <v>528</v>
      </c>
      <c r="AA6" s="719" t="s">
        <v>529</v>
      </c>
      <c r="AB6" s="726" t="s">
        <v>530</v>
      </c>
      <c r="AC6" s="726" t="s">
        <v>531</v>
      </c>
      <c r="AD6" s="726" t="s">
        <v>532</v>
      </c>
      <c r="AE6" s="726" t="s">
        <v>533</v>
      </c>
      <c r="AF6" s="727" t="s">
        <v>534</v>
      </c>
    </row>
    <row r="7" spans="1:33" ht="63.75">
      <c r="A7" s="728"/>
      <c r="B7" s="729" t="s">
        <v>743</v>
      </c>
      <c r="C7" s="729" t="s">
        <v>744</v>
      </c>
      <c r="D7" s="729" t="s">
        <v>306</v>
      </c>
      <c r="E7" s="729" t="s">
        <v>761</v>
      </c>
      <c r="F7" s="730" t="s">
        <v>828</v>
      </c>
      <c r="G7" s="729" t="s">
        <v>829</v>
      </c>
      <c r="H7" s="729" t="s">
        <v>830</v>
      </c>
      <c r="I7" s="729" t="s">
        <v>831</v>
      </c>
      <c r="J7" s="729" t="s">
        <v>832</v>
      </c>
      <c r="K7" s="729" t="s">
        <v>833</v>
      </c>
      <c r="L7" s="729" t="s">
        <v>834</v>
      </c>
      <c r="M7" s="729" t="s">
        <v>835</v>
      </c>
      <c r="N7" s="731" t="s">
        <v>836</v>
      </c>
      <c r="O7" s="730" t="s">
        <v>828</v>
      </c>
      <c r="P7" s="729" t="s">
        <v>829</v>
      </c>
      <c r="Q7" s="729" t="s">
        <v>830</v>
      </c>
      <c r="R7" s="729" t="s">
        <v>831</v>
      </c>
      <c r="S7" s="729" t="s">
        <v>832</v>
      </c>
      <c r="T7" s="729" t="s">
        <v>833</v>
      </c>
      <c r="U7" s="729" t="s">
        <v>834</v>
      </c>
      <c r="V7" s="729" t="s">
        <v>835</v>
      </c>
      <c r="W7" s="731" t="s">
        <v>836</v>
      </c>
      <c r="X7" s="730" t="s">
        <v>828</v>
      </c>
      <c r="Y7" s="729" t="s">
        <v>829</v>
      </c>
      <c r="Z7" s="729" t="s">
        <v>830</v>
      </c>
      <c r="AA7" s="729" t="s">
        <v>831</v>
      </c>
      <c r="AB7" s="729" t="s">
        <v>832</v>
      </c>
      <c r="AC7" s="729" t="s">
        <v>833</v>
      </c>
      <c r="AD7" s="729" t="s">
        <v>834</v>
      </c>
      <c r="AE7" s="729" t="s">
        <v>835</v>
      </c>
      <c r="AF7" s="731" t="s">
        <v>836</v>
      </c>
      <c r="AG7" s="719"/>
    </row>
    <row r="8" spans="1:33">
      <c r="A8" s="720" t="s">
        <v>837</v>
      </c>
      <c r="D8" s="719"/>
      <c r="E8" s="719"/>
      <c r="F8" s="732"/>
      <c r="N8" s="733"/>
      <c r="O8" s="732"/>
      <c r="W8" s="733"/>
      <c r="X8" s="732"/>
      <c r="AF8" s="733"/>
      <c r="AG8" s="719"/>
    </row>
    <row r="9" spans="1:33">
      <c r="A9" s="734">
        <v>1</v>
      </c>
      <c r="B9" s="724" t="s">
        <v>838</v>
      </c>
      <c r="C9" s="720" t="s">
        <v>308</v>
      </c>
      <c r="D9" s="735">
        <f>YEAR(EDATE('Appendix III'!$N$7,-12))</f>
        <v>2026</v>
      </c>
      <c r="E9" s="736">
        <f>365/365</f>
        <v>1</v>
      </c>
      <c r="F9" s="737"/>
      <c r="G9" s="738"/>
      <c r="H9" s="738">
        <f>'6c- ADIT BOY'!E54</f>
        <v>3494991</v>
      </c>
      <c r="I9" s="738"/>
      <c r="J9" s="738"/>
      <c r="K9" s="738"/>
      <c r="L9" s="738"/>
      <c r="M9" s="738"/>
      <c r="N9" s="739">
        <v>0</v>
      </c>
      <c r="O9" s="737"/>
      <c r="P9" s="738"/>
      <c r="Q9" s="738">
        <f>'6c- ADIT BOY'!F54</f>
        <v>0</v>
      </c>
      <c r="R9" s="738"/>
      <c r="S9" s="738"/>
      <c r="T9" s="738"/>
      <c r="U9" s="738"/>
      <c r="V9" s="738"/>
      <c r="W9" s="739">
        <v>0</v>
      </c>
      <c r="X9" s="737"/>
      <c r="Y9" s="738"/>
      <c r="Z9" s="738">
        <f>'6c- ADIT BOY'!G54</f>
        <v>0</v>
      </c>
      <c r="AA9" s="738"/>
      <c r="AB9" s="738"/>
      <c r="AC9" s="738"/>
      <c r="AD9" s="738"/>
      <c r="AE9" s="738"/>
      <c r="AF9" s="739">
        <v>0</v>
      </c>
    </row>
    <row r="10" spans="1:33">
      <c r="A10" s="734">
        <f t="shared" ref="A10:A22" si="0">+A9+1</f>
        <v>2</v>
      </c>
      <c r="B10" s="724" t="s">
        <v>768</v>
      </c>
      <c r="C10" s="720" t="s">
        <v>310</v>
      </c>
      <c r="D10" s="735">
        <f>YEAR('Appendix III'!$N$7)</f>
        <v>2027</v>
      </c>
      <c r="E10" s="736">
        <f>335/365</f>
        <v>0.9178082191780822</v>
      </c>
      <c r="F10" s="737">
        <f>'6b-ADIT Projection Proration'!G10</f>
        <v>54594.386181780756</v>
      </c>
      <c r="G10" s="738">
        <f>$E10*F10</f>
        <v>50107.176358620694</v>
      </c>
      <c r="H10" s="738">
        <f>+G10+H9</f>
        <v>3545098.1763586206</v>
      </c>
      <c r="I10" s="740">
        <v>0</v>
      </c>
      <c r="J10" s="738">
        <f t="shared" ref="J10:J21" si="1">I10-F10</f>
        <v>-54594.386181780756</v>
      </c>
      <c r="K10" s="741">
        <f>IF(J10&gt;=0,+J10*0.5,0)</f>
        <v>0</v>
      </c>
      <c r="L10" s="738">
        <f t="shared" ref="L10:L12" si="2">IF(K10&gt;0,0,IF(I10&lt;0,0,(-(J10)*0.5)))</f>
        <v>27297.193090890378</v>
      </c>
      <c r="M10" s="738">
        <f t="shared" ref="M10:M14" si="3">IF(K10&gt;0,0,IF(I10&gt;0,0,(-(J10)*0.5)))</f>
        <v>27297.193090890378</v>
      </c>
      <c r="N10" s="742">
        <f>+N9+G10+K10-L10-M10</f>
        <v>-4487.2098231600612</v>
      </c>
      <c r="O10" s="737">
        <f>'6b-ADIT Projection Proration'!I10</f>
        <v>0</v>
      </c>
      <c r="P10" s="738">
        <f t="shared" ref="P10:P21" si="4">$E10*O10</f>
        <v>0</v>
      </c>
      <c r="Q10" s="738">
        <f>+P10+Q9</f>
        <v>0</v>
      </c>
      <c r="R10" s="740">
        <v>0</v>
      </c>
      <c r="S10" s="738">
        <f t="shared" ref="S10:S21" si="5">R10-O10</f>
        <v>0</v>
      </c>
      <c r="T10" s="741">
        <f>IF(S10&gt;=0,+S10*E10,0)</f>
        <v>0</v>
      </c>
      <c r="U10" s="738">
        <f t="shared" ref="U10:U21" si="6">IF(T10&gt;0,0,IF(R10&lt;0,0,(-(S10)*($E10))))</f>
        <v>0</v>
      </c>
      <c r="V10" s="738">
        <f t="shared" ref="V10:V21" si="7">IF(T10&gt;0,0,IF(R10&gt;0,0,(-(S10)*($E10))))</f>
        <v>0</v>
      </c>
      <c r="W10" s="742">
        <f>+W9+P10+T10-U10-V10</f>
        <v>0</v>
      </c>
      <c r="X10" s="737">
        <f>'6b-ADIT Projection Proration'!K10</f>
        <v>0</v>
      </c>
      <c r="Y10" s="738">
        <f t="shared" ref="Y10:Y21" si="8">$E10*X10</f>
        <v>0</v>
      </c>
      <c r="Z10" s="738">
        <f>+Y10+Z9</f>
        <v>0</v>
      </c>
      <c r="AA10" s="740">
        <v>0</v>
      </c>
      <c r="AB10" s="738">
        <f t="shared" ref="AB10:AB21" si="9">AA10-X10</f>
        <v>0</v>
      </c>
      <c r="AC10" s="741">
        <f>IF(AB10&gt;=0,+AB10*E10,0)</f>
        <v>0</v>
      </c>
      <c r="AD10" s="738">
        <f t="shared" ref="AD10:AD21" si="10">IF(AC10&gt;0,0,IF(AA10&lt;0,0,(-(AB10)*($E10))))</f>
        <v>0</v>
      </c>
      <c r="AE10" s="738">
        <f t="shared" ref="AE10:AE21" si="11">IF(AC10&gt;0,0,IF(AA10&gt;0,0,(-(AB10)*($E10))))</f>
        <v>0</v>
      </c>
      <c r="AF10" s="742">
        <f t="shared" ref="AF10:AF12" si="12">+AF9+Y10+AC10-AD10-AE10</f>
        <v>0</v>
      </c>
    </row>
    <row r="11" spans="1:33">
      <c r="A11" s="734">
        <f t="shared" si="0"/>
        <v>3</v>
      </c>
      <c r="B11" s="724" t="s">
        <v>768</v>
      </c>
      <c r="C11" s="720" t="s">
        <v>312</v>
      </c>
      <c r="D11" s="735">
        <f>D10</f>
        <v>2027</v>
      </c>
      <c r="E11" s="736">
        <f>307/365</f>
        <v>0.84109589041095889</v>
      </c>
      <c r="F11" s="737">
        <f>'6b-ADIT Projection Proration'!G11</f>
        <v>54594.386181780756</v>
      </c>
      <c r="G11" s="738">
        <f t="shared" ref="G11:G21" si="13">$E11*F11</f>
        <v>45919.113857004631</v>
      </c>
      <c r="H11" s="738">
        <f t="shared" ref="H11:H21" si="14">+G11+H10</f>
        <v>3591017.2902156254</v>
      </c>
      <c r="I11" s="740">
        <v>0</v>
      </c>
      <c r="J11" s="738">
        <f t="shared" si="1"/>
        <v>-54594.386181780756</v>
      </c>
      <c r="K11" s="741">
        <f>IF(J11&gt;=0,+J11*0.5,0)</f>
        <v>0</v>
      </c>
      <c r="L11" s="738">
        <f t="shared" si="2"/>
        <v>27297.193090890378</v>
      </c>
      <c r="M11" s="738">
        <f t="shared" si="3"/>
        <v>27297.193090890378</v>
      </c>
      <c r="N11" s="742">
        <f>+N10+G11+K11-L11-M11</f>
        <v>-13162.482147936185</v>
      </c>
      <c r="O11" s="737">
        <f>'6b-ADIT Projection Proration'!I11</f>
        <v>0</v>
      </c>
      <c r="P11" s="738">
        <f t="shared" si="4"/>
        <v>0</v>
      </c>
      <c r="Q11" s="738">
        <f t="shared" ref="Q11:Q21" si="15">+P11+Q10</f>
        <v>0</v>
      </c>
      <c r="R11" s="740">
        <v>0</v>
      </c>
      <c r="S11" s="738">
        <f t="shared" si="5"/>
        <v>0</v>
      </c>
      <c r="T11" s="741">
        <f t="shared" ref="T11:T21" si="16">IF(S11&gt;=0,+S11*E11,0)</f>
        <v>0</v>
      </c>
      <c r="U11" s="738">
        <f t="shared" si="6"/>
        <v>0</v>
      </c>
      <c r="V11" s="738">
        <f t="shared" si="7"/>
        <v>0</v>
      </c>
      <c r="W11" s="742">
        <f t="shared" ref="W11:W12" si="17">+W10+P11+T11-U11-V11</f>
        <v>0</v>
      </c>
      <c r="X11" s="737">
        <f>'6b-ADIT Projection Proration'!K11</f>
        <v>0</v>
      </c>
      <c r="Y11" s="738">
        <f t="shared" si="8"/>
        <v>0</v>
      </c>
      <c r="Z11" s="738">
        <f t="shared" ref="Z11:Z21" si="18">+Y11+Z10</f>
        <v>0</v>
      </c>
      <c r="AA11" s="740">
        <v>0</v>
      </c>
      <c r="AB11" s="738">
        <f t="shared" si="9"/>
        <v>0</v>
      </c>
      <c r="AC11" s="741">
        <f t="shared" ref="AC11:AC21" si="19">IF(AB11&gt;=0,+AB11*E11,0)</f>
        <v>0</v>
      </c>
      <c r="AD11" s="738">
        <f t="shared" si="10"/>
        <v>0</v>
      </c>
      <c r="AE11" s="738">
        <f t="shared" si="11"/>
        <v>0</v>
      </c>
      <c r="AF11" s="742">
        <f t="shared" si="12"/>
        <v>0</v>
      </c>
    </row>
    <row r="12" spans="1:33">
      <c r="A12" s="734">
        <f t="shared" si="0"/>
        <v>4</v>
      </c>
      <c r="B12" s="724" t="s">
        <v>768</v>
      </c>
      <c r="C12" s="720" t="s">
        <v>313</v>
      </c>
      <c r="D12" s="735">
        <f t="shared" ref="D12:D21" si="20">D11</f>
        <v>2027</v>
      </c>
      <c r="E12" s="736">
        <f>276/365</f>
        <v>0.75616438356164384</v>
      </c>
      <c r="F12" s="737">
        <f>'6b-ADIT Projection Proration'!G12</f>
        <v>54594.386181780756</v>
      </c>
      <c r="G12" s="738">
        <f t="shared" si="13"/>
        <v>41282.330373072575</v>
      </c>
      <c r="H12" s="738">
        <f t="shared" si="14"/>
        <v>3632299.620588698</v>
      </c>
      <c r="I12" s="740">
        <v>0</v>
      </c>
      <c r="J12" s="738">
        <f t="shared" si="1"/>
        <v>-54594.386181780756</v>
      </c>
      <c r="K12" s="741">
        <f t="shared" ref="K12" si="21">IF(J12&gt;=0,+J12*0.5,0)</f>
        <v>0</v>
      </c>
      <c r="L12" s="738">
        <f t="shared" si="2"/>
        <v>27297.193090890378</v>
      </c>
      <c r="M12" s="738">
        <f t="shared" si="3"/>
        <v>27297.193090890378</v>
      </c>
      <c r="N12" s="742">
        <f t="shared" ref="N12" si="22">+N11+G12+K12-L12-M12</f>
        <v>-26474.537956644366</v>
      </c>
      <c r="O12" s="737">
        <f>'6b-ADIT Projection Proration'!I12</f>
        <v>0</v>
      </c>
      <c r="P12" s="738">
        <f t="shared" si="4"/>
        <v>0</v>
      </c>
      <c r="Q12" s="738">
        <f t="shared" si="15"/>
        <v>0</v>
      </c>
      <c r="R12" s="740">
        <v>0</v>
      </c>
      <c r="S12" s="738">
        <f t="shared" si="5"/>
        <v>0</v>
      </c>
      <c r="T12" s="741">
        <f t="shared" si="16"/>
        <v>0</v>
      </c>
      <c r="U12" s="738">
        <f t="shared" si="6"/>
        <v>0</v>
      </c>
      <c r="V12" s="738">
        <f t="shared" si="7"/>
        <v>0</v>
      </c>
      <c r="W12" s="742">
        <f t="shared" si="17"/>
        <v>0</v>
      </c>
      <c r="X12" s="737">
        <f>'6b-ADIT Projection Proration'!K12</f>
        <v>0</v>
      </c>
      <c r="Y12" s="738">
        <f t="shared" si="8"/>
        <v>0</v>
      </c>
      <c r="Z12" s="738">
        <f t="shared" si="18"/>
        <v>0</v>
      </c>
      <c r="AA12" s="740">
        <v>0</v>
      </c>
      <c r="AB12" s="738">
        <f t="shared" si="9"/>
        <v>0</v>
      </c>
      <c r="AC12" s="741">
        <f t="shared" si="19"/>
        <v>0</v>
      </c>
      <c r="AD12" s="738">
        <f t="shared" si="10"/>
        <v>0</v>
      </c>
      <c r="AE12" s="738">
        <f t="shared" si="11"/>
        <v>0</v>
      </c>
      <c r="AF12" s="742">
        <f t="shared" si="12"/>
        <v>0</v>
      </c>
    </row>
    <row r="13" spans="1:33">
      <c r="A13" s="734">
        <f t="shared" si="0"/>
        <v>5</v>
      </c>
      <c r="B13" s="724" t="s">
        <v>768</v>
      </c>
      <c r="C13" s="720" t="s">
        <v>314</v>
      </c>
      <c r="D13" s="735">
        <f t="shared" si="20"/>
        <v>2027</v>
      </c>
      <c r="E13" s="736">
        <f>246/365</f>
        <v>0.67397260273972603</v>
      </c>
      <c r="F13" s="737">
        <f>'6b-ADIT Projection Proration'!G13</f>
        <v>54594.386181780756</v>
      </c>
      <c r="G13" s="738">
        <f t="shared" si="13"/>
        <v>36795.120549912506</v>
      </c>
      <c r="H13" s="738">
        <f t="shared" si="14"/>
        <v>3669094.7411386105</v>
      </c>
      <c r="I13" s="740">
        <v>0</v>
      </c>
      <c r="J13" s="738">
        <f>I13-F13</f>
        <v>-54594.386181780756</v>
      </c>
      <c r="K13" s="741">
        <f>IF(J13&gt;=0,+J13*0.5,0)</f>
        <v>0</v>
      </c>
      <c r="L13" s="738">
        <f>IF(K13&gt;0,0,IF(I13&lt;0,0,(-(J13)*0.5)))</f>
        <v>27297.193090890378</v>
      </c>
      <c r="M13" s="738">
        <f t="shared" si="3"/>
        <v>27297.193090890378</v>
      </c>
      <c r="N13" s="742">
        <f>+N12+G13+K13-L13-M13</f>
        <v>-44273.803588512616</v>
      </c>
      <c r="O13" s="737">
        <f>'6b-ADIT Projection Proration'!I13</f>
        <v>0</v>
      </c>
      <c r="P13" s="738">
        <f>$E13*O13</f>
        <v>0</v>
      </c>
      <c r="Q13" s="738">
        <f t="shared" si="15"/>
        <v>0</v>
      </c>
      <c r="R13" s="740">
        <v>0</v>
      </c>
      <c r="S13" s="738">
        <f t="shared" si="5"/>
        <v>0</v>
      </c>
      <c r="T13" s="741">
        <f t="shared" si="16"/>
        <v>0</v>
      </c>
      <c r="U13" s="738">
        <f t="shared" si="6"/>
        <v>0</v>
      </c>
      <c r="V13" s="738">
        <f t="shared" si="7"/>
        <v>0</v>
      </c>
      <c r="W13" s="742">
        <f>+W12+P13+T13-U13-V13</f>
        <v>0</v>
      </c>
      <c r="X13" s="737">
        <f>'6b-ADIT Projection Proration'!K13</f>
        <v>0</v>
      </c>
      <c r="Y13" s="738">
        <f t="shared" si="8"/>
        <v>0</v>
      </c>
      <c r="Z13" s="738">
        <f t="shared" si="18"/>
        <v>0</v>
      </c>
      <c r="AA13" s="740">
        <v>0</v>
      </c>
      <c r="AB13" s="738">
        <f t="shared" si="9"/>
        <v>0</v>
      </c>
      <c r="AC13" s="741">
        <f t="shared" si="19"/>
        <v>0</v>
      </c>
      <c r="AD13" s="738">
        <f t="shared" si="10"/>
        <v>0</v>
      </c>
      <c r="AE13" s="738">
        <f t="shared" si="11"/>
        <v>0</v>
      </c>
      <c r="AF13" s="742">
        <f>+AF12+Y13+AC13-AD13-AE13</f>
        <v>0</v>
      </c>
    </row>
    <row r="14" spans="1:33">
      <c r="A14" s="734">
        <f t="shared" si="0"/>
        <v>6</v>
      </c>
      <c r="B14" s="724" t="s">
        <v>768</v>
      </c>
      <c r="C14" s="720" t="s">
        <v>315</v>
      </c>
      <c r="D14" s="735">
        <f t="shared" si="20"/>
        <v>2027</v>
      </c>
      <c r="E14" s="736">
        <f>215/365</f>
        <v>0.58904109589041098</v>
      </c>
      <c r="F14" s="737">
        <f>'6b-ADIT Projection Proration'!G14</f>
        <v>54594.386181780756</v>
      </c>
      <c r="G14" s="738">
        <f t="shared" si="13"/>
        <v>32158.337065980446</v>
      </c>
      <c r="H14" s="738">
        <f t="shared" si="14"/>
        <v>3701253.0782045908</v>
      </c>
      <c r="I14" s="740">
        <v>0</v>
      </c>
      <c r="J14" s="738">
        <f t="shared" si="1"/>
        <v>-54594.386181780756</v>
      </c>
      <c r="K14" s="741">
        <f t="shared" ref="K14:K21" si="23">IF(J14&gt;=0,+J14*0.5,0)</f>
        <v>0</v>
      </c>
      <c r="L14" s="738">
        <f t="shared" ref="L14:L21" si="24">IF(K14&gt;0,0,IF(I14&lt;0,0,(-(J14)*0.5)))</f>
        <v>27297.193090890378</v>
      </c>
      <c r="M14" s="738">
        <f t="shared" si="3"/>
        <v>27297.193090890378</v>
      </c>
      <c r="N14" s="742">
        <f>+N13+G14+K14-L14-M14</f>
        <v>-66709.852704312929</v>
      </c>
      <c r="O14" s="737">
        <f>'6b-ADIT Projection Proration'!I14</f>
        <v>0</v>
      </c>
      <c r="P14" s="738">
        <f t="shared" si="4"/>
        <v>0</v>
      </c>
      <c r="Q14" s="738">
        <f t="shared" si="15"/>
        <v>0</v>
      </c>
      <c r="R14" s="740">
        <v>0</v>
      </c>
      <c r="S14" s="738">
        <f t="shared" si="5"/>
        <v>0</v>
      </c>
      <c r="T14" s="741">
        <f t="shared" si="16"/>
        <v>0</v>
      </c>
      <c r="U14" s="738">
        <f t="shared" si="6"/>
        <v>0</v>
      </c>
      <c r="V14" s="738">
        <f t="shared" si="7"/>
        <v>0</v>
      </c>
      <c r="W14" s="742">
        <f>+W13+P14+T14-U14-V14</f>
        <v>0</v>
      </c>
      <c r="X14" s="737">
        <f>'6b-ADIT Projection Proration'!K14</f>
        <v>0</v>
      </c>
      <c r="Y14" s="738">
        <f t="shared" si="8"/>
        <v>0</v>
      </c>
      <c r="Z14" s="738">
        <f t="shared" si="18"/>
        <v>0</v>
      </c>
      <c r="AA14" s="740">
        <v>0</v>
      </c>
      <c r="AB14" s="738">
        <f t="shared" si="9"/>
        <v>0</v>
      </c>
      <c r="AC14" s="741">
        <f t="shared" si="19"/>
        <v>0</v>
      </c>
      <c r="AD14" s="738">
        <f t="shared" si="10"/>
        <v>0</v>
      </c>
      <c r="AE14" s="738">
        <f t="shared" si="11"/>
        <v>0</v>
      </c>
      <c r="AF14" s="742">
        <f t="shared" ref="AF14:AF21" si="25">+AF13+Y14+AC14-AD14-AE14</f>
        <v>0</v>
      </c>
    </row>
    <row r="15" spans="1:33">
      <c r="A15" s="734">
        <f t="shared" si="0"/>
        <v>7</v>
      </c>
      <c r="B15" s="724" t="s">
        <v>768</v>
      </c>
      <c r="C15" s="720" t="s">
        <v>435</v>
      </c>
      <c r="D15" s="735">
        <f t="shared" si="20"/>
        <v>2027</v>
      </c>
      <c r="E15" s="736">
        <f>185/365</f>
        <v>0.50684931506849318</v>
      </c>
      <c r="F15" s="737">
        <f>'6b-ADIT Projection Proration'!G15</f>
        <v>54594.386181780756</v>
      </c>
      <c r="G15" s="738">
        <f>$E15*F15</f>
        <v>27671.127242820385</v>
      </c>
      <c r="H15" s="738">
        <f t="shared" si="14"/>
        <v>3728924.2054474112</v>
      </c>
      <c r="I15" s="740">
        <v>0</v>
      </c>
      <c r="J15" s="738">
        <f>I15-F15</f>
        <v>-54594.386181780756</v>
      </c>
      <c r="K15" s="741">
        <f t="shared" si="23"/>
        <v>0</v>
      </c>
      <c r="L15" s="738">
        <f t="shared" si="24"/>
        <v>27297.193090890378</v>
      </c>
      <c r="M15" s="738">
        <f>IF(K15&gt;0,0,IF(I15&gt;0,0,(-(J15)*0.5)))</f>
        <v>27297.193090890378</v>
      </c>
      <c r="N15" s="742">
        <f>+N14+G15+K15-L15-M15</f>
        <v>-93633.111643273296</v>
      </c>
      <c r="O15" s="737">
        <f>'6b-ADIT Projection Proration'!I15</f>
        <v>0</v>
      </c>
      <c r="P15" s="738">
        <f t="shared" si="4"/>
        <v>0</v>
      </c>
      <c r="Q15" s="738">
        <f t="shared" si="15"/>
        <v>0</v>
      </c>
      <c r="R15" s="740">
        <v>0</v>
      </c>
      <c r="S15" s="738">
        <f t="shared" si="5"/>
        <v>0</v>
      </c>
      <c r="T15" s="741">
        <f t="shared" si="16"/>
        <v>0</v>
      </c>
      <c r="U15" s="738">
        <f t="shared" si="6"/>
        <v>0</v>
      </c>
      <c r="V15" s="738">
        <f t="shared" si="7"/>
        <v>0</v>
      </c>
      <c r="W15" s="742">
        <f t="shared" ref="W15:W21" si="26">+W14+P15+T15-U15-V15</f>
        <v>0</v>
      </c>
      <c r="X15" s="737">
        <f>'6b-ADIT Projection Proration'!K15</f>
        <v>0</v>
      </c>
      <c r="Y15" s="738">
        <f t="shared" si="8"/>
        <v>0</v>
      </c>
      <c r="Z15" s="738">
        <f t="shared" si="18"/>
        <v>0</v>
      </c>
      <c r="AA15" s="740">
        <v>0</v>
      </c>
      <c r="AB15" s="738">
        <f t="shared" si="9"/>
        <v>0</v>
      </c>
      <c r="AC15" s="741">
        <f t="shared" si="19"/>
        <v>0</v>
      </c>
      <c r="AD15" s="738">
        <f t="shared" si="10"/>
        <v>0</v>
      </c>
      <c r="AE15" s="738">
        <f t="shared" si="11"/>
        <v>0</v>
      </c>
      <c r="AF15" s="742">
        <f t="shared" si="25"/>
        <v>0</v>
      </c>
    </row>
    <row r="16" spans="1:33">
      <c r="A16" s="734">
        <f t="shared" si="0"/>
        <v>8</v>
      </c>
      <c r="B16" s="724" t="s">
        <v>768</v>
      </c>
      <c r="C16" s="720" t="s">
        <v>317</v>
      </c>
      <c r="D16" s="735">
        <f t="shared" si="20"/>
        <v>2027</v>
      </c>
      <c r="E16" s="736">
        <f>154/365</f>
        <v>0.42191780821917807</v>
      </c>
      <c r="F16" s="737">
        <f>'6b-ADIT Projection Proration'!G16</f>
        <v>54594.386181780756</v>
      </c>
      <c r="G16" s="738">
        <f t="shared" si="13"/>
        <v>23034.343758888317</v>
      </c>
      <c r="H16" s="738">
        <f t="shared" si="14"/>
        <v>3751958.5492062997</v>
      </c>
      <c r="I16" s="740">
        <v>0</v>
      </c>
      <c r="J16" s="738">
        <f t="shared" si="1"/>
        <v>-54594.386181780756</v>
      </c>
      <c r="K16" s="741">
        <f t="shared" si="23"/>
        <v>0</v>
      </c>
      <c r="L16" s="738">
        <f t="shared" si="24"/>
        <v>27297.193090890378</v>
      </c>
      <c r="M16" s="738">
        <f t="shared" ref="M16:M21" si="27">IF(K16&gt;0,0,IF(I16&gt;0,0,(-(J16)*0.5)))</f>
        <v>27297.193090890378</v>
      </c>
      <c r="N16" s="742">
        <f t="shared" ref="N16:N21" si="28">+N15+G16+K16-L16-M16</f>
        <v>-125193.15406616573</v>
      </c>
      <c r="O16" s="737">
        <f>'6b-ADIT Projection Proration'!I16</f>
        <v>0</v>
      </c>
      <c r="P16" s="738">
        <f t="shared" si="4"/>
        <v>0</v>
      </c>
      <c r="Q16" s="738">
        <f t="shared" si="15"/>
        <v>0</v>
      </c>
      <c r="R16" s="740">
        <v>0</v>
      </c>
      <c r="S16" s="738">
        <f t="shared" si="5"/>
        <v>0</v>
      </c>
      <c r="T16" s="741">
        <f t="shared" si="16"/>
        <v>0</v>
      </c>
      <c r="U16" s="738">
        <f t="shared" si="6"/>
        <v>0</v>
      </c>
      <c r="V16" s="738">
        <f t="shared" si="7"/>
        <v>0</v>
      </c>
      <c r="W16" s="742">
        <f t="shared" si="26"/>
        <v>0</v>
      </c>
      <c r="X16" s="737">
        <f>'6b-ADIT Projection Proration'!K16</f>
        <v>0</v>
      </c>
      <c r="Y16" s="738">
        <f t="shared" si="8"/>
        <v>0</v>
      </c>
      <c r="Z16" s="738">
        <f t="shared" si="18"/>
        <v>0</v>
      </c>
      <c r="AA16" s="740">
        <v>0</v>
      </c>
      <c r="AB16" s="738">
        <f t="shared" si="9"/>
        <v>0</v>
      </c>
      <c r="AC16" s="741">
        <f t="shared" si="19"/>
        <v>0</v>
      </c>
      <c r="AD16" s="738">
        <f t="shared" si="10"/>
        <v>0</v>
      </c>
      <c r="AE16" s="738">
        <f t="shared" si="11"/>
        <v>0</v>
      </c>
      <c r="AF16" s="742">
        <f t="shared" si="25"/>
        <v>0</v>
      </c>
    </row>
    <row r="17" spans="1:33">
      <c r="A17" s="734">
        <f t="shared" si="0"/>
        <v>9</v>
      </c>
      <c r="B17" s="724" t="s">
        <v>768</v>
      </c>
      <c r="C17" s="720" t="s">
        <v>318</v>
      </c>
      <c r="D17" s="735">
        <f t="shared" si="20"/>
        <v>2027</v>
      </c>
      <c r="E17" s="736">
        <f>123/365</f>
        <v>0.33698630136986302</v>
      </c>
      <c r="F17" s="737">
        <f>'6b-ADIT Projection Proration'!G17</f>
        <v>54594.386181780756</v>
      </c>
      <c r="G17" s="738">
        <f t="shared" si="13"/>
        <v>18397.560274956253</v>
      </c>
      <c r="H17" s="738">
        <f>+G17+H16</f>
        <v>3770356.109481256</v>
      </c>
      <c r="I17" s="740">
        <v>0</v>
      </c>
      <c r="J17" s="738">
        <f t="shared" si="1"/>
        <v>-54594.386181780756</v>
      </c>
      <c r="K17" s="741">
        <f t="shared" si="23"/>
        <v>0</v>
      </c>
      <c r="L17" s="738">
        <f t="shared" si="24"/>
        <v>27297.193090890378</v>
      </c>
      <c r="M17" s="738">
        <f t="shared" si="27"/>
        <v>27297.193090890378</v>
      </c>
      <c r="N17" s="742">
        <f t="shared" si="28"/>
        <v>-161389.97997299026</v>
      </c>
      <c r="O17" s="737">
        <f>'6b-ADIT Projection Proration'!I17</f>
        <v>0</v>
      </c>
      <c r="P17" s="738">
        <f t="shared" si="4"/>
        <v>0</v>
      </c>
      <c r="Q17" s="738">
        <f t="shared" si="15"/>
        <v>0</v>
      </c>
      <c r="R17" s="740">
        <v>0</v>
      </c>
      <c r="S17" s="738">
        <f t="shared" si="5"/>
        <v>0</v>
      </c>
      <c r="T17" s="741">
        <f t="shared" si="16"/>
        <v>0</v>
      </c>
      <c r="U17" s="738">
        <f t="shared" si="6"/>
        <v>0</v>
      </c>
      <c r="V17" s="738">
        <f t="shared" si="7"/>
        <v>0</v>
      </c>
      <c r="W17" s="742">
        <f t="shared" si="26"/>
        <v>0</v>
      </c>
      <c r="X17" s="737">
        <f>'6b-ADIT Projection Proration'!K17</f>
        <v>0</v>
      </c>
      <c r="Y17" s="738">
        <f t="shared" si="8"/>
        <v>0</v>
      </c>
      <c r="Z17" s="738">
        <f t="shared" si="18"/>
        <v>0</v>
      </c>
      <c r="AA17" s="740">
        <v>0</v>
      </c>
      <c r="AB17" s="738">
        <f t="shared" si="9"/>
        <v>0</v>
      </c>
      <c r="AC17" s="741">
        <f t="shared" si="19"/>
        <v>0</v>
      </c>
      <c r="AD17" s="738">
        <f t="shared" si="10"/>
        <v>0</v>
      </c>
      <c r="AE17" s="738">
        <f t="shared" si="11"/>
        <v>0</v>
      </c>
      <c r="AF17" s="742">
        <f t="shared" si="25"/>
        <v>0</v>
      </c>
    </row>
    <row r="18" spans="1:33">
      <c r="A18" s="734">
        <f t="shared" si="0"/>
        <v>10</v>
      </c>
      <c r="B18" s="724" t="s">
        <v>768</v>
      </c>
      <c r="C18" s="720" t="s">
        <v>319</v>
      </c>
      <c r="D18" s="735">
        <f t="shared" si="20"/>
        <v>2027</v>
      </c>
      <c r="E18" s="736">
        <f>93/365</f>
        <v>0.25479452054794521</v>
      </c>
      <c r="F18" s="737">
        <f>'6b-ADIT Projection Proration'!G18</f>
        <v>54594.386181780756</v>
      </c>
      <c r="G18" s="738">
        <f t="shared" si="13"/>
        <v>13910.350451796194</v>
      </c>
      <c r="H18" s="738">
        <f t="shared" si="14"/>
        <v>3784266.4599330523</v>
      </c>
      <c r="I18" s="740">
        <v>0</v>
      </c>
      <c r="J18" s="738">
        <f t="shared" si="1"/>
        <v>-54594.386181780756</v>
      </c>
      <c r="K18" s="741">
        <f t="shared" si="23"/>
        <v>0</v>
      </c>
      <c r="L18" s="738">
        <f t="shared" si="24"/>
        <v>27297.193090890378</v>
      </c>
      <c r="M18" s="738">
        <f t="shared" si="27"/>
        <v>27297.193090890378</v>
      </c>
      <c r="N18" s="742">
        <f t="shared" si="28"/>
        <v>-202074.01570297484</v>
      </c>
      <c r="O18" s="737">
        <f>'6b-ADIT Projection Proration'!I18</f>
        <v>0</v>
      </c>
      <c r="P18" s="738">
        <f t="shared" si="4"/>
        <v>0</v>
      </c>
      <c r="Q18" s="738">
        <f t="shared" si="15"/>
        <v>0</v>
      </c>
      <c r="R18" s="740">
        <v>0</v>
      </c>
      <c r="S18" s="738">
        <f t="shared" si="5"/>
        <v>0</v>
      </c>
      <c r="T18" s="741">
        <f t="shared" si="16"/>
        <v>0</v>
      </c>
      <c r="U18" s="738">
        <f t="shared" si="6"/>
        <v>0</v>
      </c>
      <c r="V18" s="738">
        <f t="shared" si="7"/>
        <v>0</v>
      </c>
      <c r="W18" s="742">
        <f t="shared" si="26"/>
        <v>0</v>
      </c>
      <c r="X18" s="737">
        <f>'6b-ADIT Projection Proration'!K18</f>
        <v>0</v>
      </c>
      <c r="Y18" s="738">
        <f t="shared" si="8"/>
        <v>0</v>
      </c>
      <c r="Z18" s="738">
        <f t="shared" si="18"/>
        <v>0</v>
      </c>
      <c r="AA18" s="740">
        <v>0</v>
      </c>
      <c r="AB18" s="738">
        <f t="shared" si="9"/>
        <v>0</v>
      </c>
      <c r="AC18" s="741">
        <f t="shared" si="19"/>
        <v>0</v>
      </c>
      <c r="AD18" s="738">
        <f t="shared" si="10"/>
        <v>0</v>
      </c>
      <c r="AE18" s="738">
        <f t="shared" si="11"/>
        <v>0</v>
      </c>
      <c r="AF18" s="742">
        <f t="shared" si="25"/>
        <v>0</v>
      </c>
    </row>
    <row r="19" spans="1:33">
      <c r="A19" s="734">
        <f t="shared" si="0"/>
        <v>11</v>
      </c>
      <c r="B19" s="724" t="s">
        <v>768</v>
      </c>
      <c r="C19" s="720" t="s">
        <v>326</v>
      </c>
      <c r="D19" s="735">
        <f t="shared" si="20"/>
        <v>2027</v>
      </c>
      <c r="E19" s="736">
        <f>62/365</f>
        <v>0.16986301369863013</v>
      </c>
      <c r="F19" s="737">
        <f>'6b-ADIT Projection Proration'!G19</f>
        <v>54594.386181780756</v>
      </c>
      <c r="G19" s="738">
        <f t="shared" si="13"/>
        <v>9273.5669678641279</v>
      </c>
      <c r="H19" s="738">
        <f t="shared" si="14"/>
        <v>3793540.0269009164</v>
      </c>
      <c r="I19" s="740">
        <v>0</v>
      </c>
      <c r="J19" s="738">
        <f t="shared" si="1"/>
        <v>-54594.386181780756</v>
      </c>
      <c r="K19" s="741">
        <f t="shared" si="23"/>
        <v>0</v>
      </c>
      <c r="L19" s="738">
        <f t="shared" si="24"/>
        <v>27297.193090890378</v>
      </c>
      <c r="M19" s="738">
        <f t="shared" si="27"/>
        <v>27297.193090890378</v>
      </c>
      <c r="N19" s="742">
        <f t="shared" si="28"/>
        <v>-247394.83491689147</v>
      </c>
      <c r="O19" s="737">
        <f>'6b-ADIT Projection Proration'!I19</f>
        <v>0</v>
      </c>
      <c r="P19" s="738">
        <f t="shared" si="4"/>
        <v>0</v>
      </c>
      <c r="Q19" s="738">
        <f t="shared" si="15"/>
        <v>0</v>
      </c>
      <c r="R19" s="740">
        <v>0</v>
      </c>
      <c r="S19" s="738">
        <f t="shared" si="5"/>
        <v>0</v>
      </c>
      <c r="T19" s="741">
        <f t="shared" si="16"/>
        <v>0</v>
      </c>
      <c r="U19" s="738">
        <f t="shared" si="6"/>
        <v>0</v>
      </c>
      <c r="V19" s="738">
        <f t="shared" si="7"/>
        <v>0</v>
      </c>
      <c r="W19" s="742">
        <f t="shared" si="26"/>
        <v>0</v>
      </c>
      <c r="X19" s="737">
        <f>'6b-ADIT Projection Proration'!K19</f>
        <v>0</v>
      </c>
      <c r="Y19" s="738">
        <f t="shared" si="8"/>
        <v>0</v>
      </c>
      <c r="Z19" s="738">
        <f t="shared" si="18"/>
        <v>0</v>
      </c>
      <c r="AA19" s="740">
        <v>0</v>
      </c>
      <c r="AB19" s="738">
        <f t="shared" si="9"/>
        <v>0</v>
      </c>
      <c r="AC19" s="741">
        <f t="shared" si="19"/>
        <v>0</v>
      </c>
      <c r="AD19" s="738">
        <f t="shared" si="10"/>
        <v>0</v>
      </c>
      <c r="AE19" s="738">
        <f t="shared" si="11"/>
        <v>0</v>
      </c>
      <c r="AF19" s="742">
        <f t="shared" si="25"/>
        <v>0</v>
      </c>
    </row>
    <row r="20" spans="1:33">
      <c r="A20" s="734">
        <f t="shared" si="0"/>
        <v>12</v>
      </c>
      <c r="B20" s="724" t="s">
        <v>768</v>
      </c>
      <c r="C20" s="720" t="s">
        <v>321</v>
      </c>
      <c r="D20" s="735">
        <f t="shared" si="20"/>
        <v>2027</v>
      </c>
      <c r="E20" s="736">
        <f>32/365</f>
        <v>8.7671232876712329E-2</v>
      </c>
      <c r="F20" s="737">
        <f>'6b-ADIT Projection Proration'!G20</f>
        <v>54594.386181780756</v>
      </c>
      <c r="G20" s="738">
        <f t="shared" si="13"/>
        <v>4786.3571447040658</v>
      </c>
      <c r="H20" s="738">
        <f t="shared" si="14"/>
        <v>3798326.3840456204</v>
      </c>
      <c r="I20" s="740">
        <v>0</v>
      </c>
      <c r="J20" s="738">
        <f t="shared" si="1"/>
        <v>-54594.386181780756</v>
      </c>
      <c r="K20" s="741">
        <f>IF(J20&gt;=0,+J20*0.5,0)</f>
        <v>0</v>
      </c>
      <c r="L20" s="738">
        <f t="shared" si="24"/>
        <v>27297.193090890378</v>
      </c>
      <c r="M20" s="738">
        <f t="shared" si="27"/>
        <v>27297.193090890378</v>
      </c>
      <c r="N20" s="742">
        <f t="shared" si="28"/>
        <v>-297202.86395396816</v>
      </c>
      <c r="O20" s="737">
        <f>'6b-ADIT Projection Proration'!I20</f>
        <v>0</v>
      </c>
      <c r="P20" s="738">
        <f t="shared" si="4"/>
        <v>0</v>
      </c>
      <c r="Q20" s="738">
        <f t="shared" si="15"/>
        <v>0</v>
      </c>
      <c r="R20" s="740">
        <v>0</v>
      </c>
      <c r="S20" s="738">
        <f t="shared" si="5"/>
        <v>0</v>
      </c>
      <c r="T20" s="741">
        <f t="shared" si="16"/>
        <v>0</v>
      </c>
      <c r="U20" s="738">
        <f t="shared" si="6"/>
        <v>0</v>
      </c>
      <c r="V20" s="738">
        <f t="shared" si="7"/>
        <v>0</v>
      </c>
      <c r="W20" s="742">
        <f t="shared" si="26"/>
        <v>0</v>
      </c>
      <c r="X20" s="737">
        <f>'6b-ADIT Projection Proration'!K20</f>
        <v>0</v>
      </c>
      <c r="Y20" s="738">
        <f t="shared" si="8"/>
        <v>0</v>
      </c>
      <c r="Z20" s="738">
        <f t="shared" si="18"/>
        <v>0</v>
      </c>
      <c r="AA20" s="740">
        <v>0</v>
      </c>
      <c r="AB20" s="738">
        <f t="shared" si="9"/>
        <v>0</v>
      </c>
      <c r="AC20" s="741">
        <f t="shared" si="19"/>
        <v>0</v>
      </c>
      <c r="AD20" s="738">
        <f t="shared" si="10"/>
        <v>0</v>
      </c>
      <c r="AE20" s="738">
        <f t="shared" si="11"/>
        <v>0</v>
      </c>
      <c r="AF20" s="742">
        <f t="shared" si="25"/>
        <v>0</v>
      </c>
    </row>
    <row r="21" spans="1:33">
      <c r="A21" s="734">
        <f t="shared" si="0"/>
        <v>13</v>
      </c>
      <c r="B21" s="724" t="s">
        <v>768</v>
      </c>
      <c r="C21" s="720" t="s">
        <v>308</v>
      </c>
      <c r="D21" s="735">
        <f t="shared" si="20"/>
        <v>2027</v>
      </c>
      <c r="E21" s="736">
        <f>1/365</f>
        <v>2.7397260273972603E-3</v>
      </c>
      <c r="F21" s="743">
        <f>'6b-ADIT Projection Proration'!G21</f>
        <v>54594.386181780756</v>
      </c>
      <c r="G21" s="744">
        <f t="shared" si="13"/>
        <v>149.57366077200206</v>
      </c>
      <c r="H21" s="744">
        <f t="shared" si="14"/>
        <v>3798475.9577063923</v>
      </c>
      <c r="I21" s="740">
        <v>0</v>
      </c>
      <c r="J21" s="738">
        <f t="shared" si="1"/>
        <v>-54594.386181780756</v>
      </c>
      <c r="K21" s="741">
        <f t="shared" si="23"/>
        <v>0</v>
      </c>
      <c r="L21" s="738">
        <f t="shared" si="24"/>
        <v>27297.193090890378</v>
      </c>
      <c r="M21" s="738">
        <f t="shared" si="27"/>
        <v>27297.193090890378</v>
      </c>
      <c r="N21" s="742">
        <f t="shared" si="28"/>
        <v>-351647.67647497688</v>
      </c>
      <c r="O21" s="743">
        <f>'6b-ADIT Projection Proration'!I21</f>
        <v>0</v>
      </c>
      <c r="P21" s="744">
        <f t="shared" si="4"/>
        <v>0</v>
      </c>
      <c r="Q21" s="744">
        <f t="shared" si="15"/>
        <v>0</v>
      </c>
      <c r="R21" s="745">
        <v>0</v>
      </c>
      <c r="S21" s="738">
        <f t="shared" si="5"/>
        <v>0</v>
      </c>
      <c r="T21" s="741">
        <f t="shared" si="16"/>
        <v>0</v>
      </c>
      <c r="U21" s="738">
        <f t="shared" si="6"/>
        <v>0</v>
      </c>
      <c r="V21" s="738">
        <f t="shared" si="7"/>
        <v>0</v>
      </c>
      <c r="W21" s="742">
        <f t="shared" si="26"/>
        <v>0</v>
      </c>
      <c r="X21" s="743">
        <f>'6b-ADIT Projection Proration'!K21</f>
        <v>0</v>
      </c>
      <c r="Y21" s="744">
        <f t="shared" si="8"/>
        <v>0</v>
      </c>
      <c r="Z21" s="744">
        <f t="shared" si="18"/>
        <v>0</v>
      </c>
      <c r="AA21" s="740">
        <v>0</v>
      </c>
      <c r="AB21" s="738">
        <f t="shared" si="9"/>
        <v>0</v>
      </c>
      <c r="AC21" s="741">
        <f t="shared" si="19"/>
        <v>0</v>
      </c>
      <c r="AD21" s="738">
        <f t="shared" si="10"/>
        <v>0</v>
      </c>
      <c r="AE21" s="738">
        <f t="shared" si="11"/>
        <v>0</v>
      </c>
      <c r="AF21" s="742">
        <f t="shared" si="25"/>
        <v>0</v>
      </c>
    </row>
    <row r="22" spans="1:33">
      <c r="A22" s="734">
        <f t="shared" si="0"/>
        <v>14</v>
      </c>
      <c r="B22" s="724" t="s">
        <v>769</v>
      </c>
      <c r="D22" s="746"/>
      <c r="F22" s="737">
        <f>SUM(F9:F21)</f>
        <v>655132.6341813691</v>
      </c>
      <c r="G22" s="738">
        <f t="shared" ref="G22:M22" si="29">SUM(G9:G21)</f>
        <v>303484.95770639222</v>
      </c>
      <c r="H22" s="738"/>
      <c r="I22" s="747">
        <f t="shared" si="29"/>
        <v>0</v>
      </c>
      <c r="J22" s="747">
        <f t="shared" si="29"/>
        <v>-655132.6341813691</v>
      </c>
      <c r="K22" s="747">
        <f t="shared" si="29"/>
        <v>0</v>
      </c>
      <c r="L22" s="747">
        <f t="shared" si="29"/>
        <v>327566.31709068455</v>
      </c>
      <c r="M22" s="747">
        <f t="shared" si="29"/>
        <v>327566.31709068455</v>
      </c>
      <c r="N22" s="748"/>
      <c r="O22" s="737">
        <f t="shared" ref="O22:P22" si="30">SUM(O9:O21)</f>
        <v>0</v>
      </c>
      <c r="P22" s="738">
        <f t="shared" si="30"/>
        <v>0</v>
      </c>
      <c r="Q22" s="738"/>
      <c r="R22" s="738">
        <f t="shared" ref="R22:V22" si="31">SUM(R9:R21)</f>
        <v>0</v>
      </c>
      <c r="S22" s="747">
        <f t="shared" si="31"/>
        <v>0</v>
      </c>
      <c r="T22" s="747">
        <f t="shared" si="31"/>
        <v>0</v>
      </c>
      <c r="U22" s="747">
        <f t="shared" si="31"/>
        <v>0</v>
      </c>
      <c r="V22" s="747">
        <f t="shared" si="31"/>
        <v>0</v>
      </c>
      <c r="W22" s="748"/>
      <c r="X22" s="737">
        <f t="shared" ref="X22:Y22" si="32">SUM(X9:X21)</f>
        <v>0</v>
      </c>
      <c r="Y22" s="738">
        <f t="shared" si="32"/>
        <v>0</v>
      </c>
      <c r="Z22" s="738"/>
      <c r="AA22" s="747">
        <f t="shared" ref="AA22:AE22" si="33">SUM(AA9:AA21)</f>
        <v>0</v>
      </c>
      <c r="AB22" s="747">
        <f t="shared" si="33"/>
        <v>0</v>
      </c>
      <c r="AC22" s="747">
        <f t="shared" si="33"/>
        <v>0</v>
      </c>
      <c r="AD22" s="747">
        <f t="shared" si="33"/>
        <v>0</v>
      </c>
      <c r="AE22" s="747">
        <f t="shared" si="33"/>
        <v>0</v>
      </c>
      <c r="AF22" s="748"/>
    </row>
    <row r="23" spans="1:33">
      <c r="A23" s="734"/>
      <c r="F23" s="737"/>
      <c r="G23" s="738"/>
      <c r="H23" s="738"/>
      <c r="I23" s="738"/>
      <c r="J23" s="738"/>
      <c r="K23" s="738"/>
      <c r="L23" s="738"/>
      <c r="M23" s="738"/>
      <c r="N23" s="739"/>
      <c r="O23" s="737"/>
      <c r="P23" s="738"/>
      <c r="Q23" s="738"/>
      <c r="R23" s="738"/>
      <c r="S23" s="738"/>
      <c r="T23" s="738"/>
      <c r="U23" s="738"/>
      <c r="V23" s="738"/>
      <c r="W23" s="739"/>
      <c r="X23" s="737"/>
      <c r="Y23" s="738"/>
      <c r="Z23" s="738"/>
      <c r="AA23" s="738"/>
      <c r="AB23" s="738"/>
      <c r="AC23" s="738"/>
      <c r="AD23" s="738"/>
      <c r="AE23" s="738"/>
      <c r="AF23" s="739"/>
    </row>
    <row r="24" spans="1:33">
      <c r="A24" s="720" t="s">
        <v>839</v>
      </c>
      <c r="D24" s="719"/>
      <c r="E24" s="719"/>
      <c r="F24" s="737"/>
      <c r="G24" s="738"/>
      <c r="H24" s="738"/>
      <c r="I24" s="738"/>
      <c r="J24" s="738"/>
      <c r="K24" s="738"/>
      <c r="L24" s="738"/>
      <c r="M24" s="738"/>
      <c r="N24" s="739"/>
      <c r="O24" s="737"/>
      <c r="P24" s="738"/>
      <c r="Q24" s="738"/>
      <c r="R24" s="738"/>
      <c r="S24" s="738"/>
      <c r="T24" s="738"/>
      <c r="U24" s="738"/>
      <c r="V24" s="738"/>
      <c r="W24" s="739"/>
      <c r="X24" s="737"/>
      <c r="Y24" s="738"/>
      <c r="Z24" s="738"/>
      <c r="AA24" s="738"/>
      <c r="AB24" s="738"/>
      <c r="AC24" s="738"/>
      <c r="AD24" s="738"/>
      <c r="AE24" s="738"/>
      <c r="AF24" s="739"/>
      <c r="AG24" s="719"/>
    </row>
    <row r="25" spans="1:33">
      <c r="A25" s="734">
        <f>A22+1</f>
        <v>15</v>
      </c>
      <c r="B25" s="724" t="s">
        <v>840</v>
      </c>
      <c r="C25" s="720" t="s">
        <v>308</v>
      </c>
      <c r="D25" s="735">
        <f>D9</f>
        <v>2026</v>
      </c>
      <c r="E25" s="736">
        <f>365/365</f>
        <v>1</v>
      </c>
      <c r="F25" s="737"/>
      <c r="G25" s="738"/>
      <c r="H25" s="738">
        <f>'6c- ADIT BOY'!E74</f>
        <v>609091</v>
      </c>
      <c r="I25" s="738"/>
      <c r="J25" s="738"/>
      <c r="K25" s="738"/>
      <c r="L25" s="738"/>
      <c r="M25" s="738"/>
      <c r="N25" s="739"/>
      <c r="O25" s="737"/>
      <c r="P25" s="738"/>
      <c r="Q25" s="738">
        <f>'6c- ADIT BOY'!F74</f>
        <v>0</v>
      </c>
      <c r="R25" s="738"/>
      <c r="S25" s="738"/>
      <c r="T25" s="738"/>
      <c r="U25" s="738"/>
      <c r="V25" s="738"/>
      <c r="W25" s="739"/>
      <c r="X25" s="737"/>
      <c r="Y25" s="738"/>
      <c r="Z25" s="738">
        <f>'6c- ADIT BOY'!G74</f>
        <v>0</v>
      </c>
      <c r="AA25" s="738"/>
      <c r="AB25" s="738"/>
      <c r="AC25" s="738"/>
      <c r="AD25" s="738"/>
      <c r="AE25" s="738"/>
      <c r="AF25" s="739"/>
    </row>
    <row r="26" spans="1:33">
      <c r="A26" s="734">
        <f t="shared" ref="A26:A38" si="34">+A25+1</f>
        <v>16</v>
      </c>
      <c r="B26" s="724" t="s">
        <v>768</v>
      </c>
      <c r="C26" s="720" t="s">
        <v>310</v>
      </c>
      <c r="D26" s="735">
        <f t="shared" ref="D26:D37" si="35">D10</f>
        <v>2027</v>
      </c>
      <c r="E26" s="736">
        <f>335/365</f>
        <v>0.9178082191780822</v>
      </c>
      <c r="F26" s="737">
        <f>'6b-ADIT Projection Proration'!G26</f>
        <v>932.5</v>
      </c>
      <c r="G26" s="738">
        <f t="shared" ref="G26:G37" si="36">$E26*F26</f>
        <v>855.85616438356169</v>
      </c>
      <c r="H26" s="738">
        <f t="shared" ref="H26:H37" si="37">+G26+H25</f>
        <v>609946.85616438359</v>
      </c>
      <c r="I26" s="740">
        <v>0</v>
      </c>
      <c r="J26" s="738">
        <f t="shared" ref="J26:J37" si="38">I26-F26</f>
        <v>-932.5</v>
      </c>
      <c r="K26" s="741">
        <f t="shared" ref="K26:K28" si="39">IF(J26&gt;=0,+J26*0.5,0)</f>
        <v>0</v>
      </c>
      <c r="L26" s="738">
        <f t="shared" ref="L26:L28" si="40">IF(K26&gt;0,0,IF(I26&lt;0,0,(-(J26)*0.5)))</f>
        <v>466.25</v>
      </c>
      <c r="M26" s="738">
        <f t="shared" ref="M26:M30" si="41">IF(K26&gt;0,0,IF(I26&gt;0,0,(-(J26)*0.5)))</f>
        <v>466.25</v>
      </c>
      <c r="N26" s="742">
        <f t="shared" ref="N26:N28" si="42">+N25+G26+K26-L26-M26</f>
        <v>-76.643835616438309</v>
      </c>
      <c r="O26" s="737">
        <f>'6b-ADIT Projection Proration'!I26</f>
        <v>0</v>
      </c>
      <c r="P26" s="738">
        <f t="shared" ref="P26:P37" si="43">$E26*O26</f>
        <v>0</v>
      </c>
      <c r="Q26" s="738">
        <f t="shared" ref="Q26:Q37" si="44">+P26+Q25</f>
        <v>0</v>
      </c>
      <c r="R26" s="740">
        <v>0</v>
      </c>
      <c r="S26" s="738">
        <f t="shared" ref="S26:S37" si="45">R26-O26</f>
        <v>0</v>
      </c>
      <c r="T26" s="741">
        <f>IF(S26&gt;=0,+S26*E26,0)</f>
        <v>0</v>
      </c>
      <c r="U26" s="738">
        <f t="shared" ref="U26:U37" si="46">IF(T26&gt;0,0,IF(R26&lt;0,0,(-(S26)*($E26))))</f>
        <v>0</v>
      </c>
      <c r="V26" s="738">
        <f t="shared" ref="V26:V37" si="47">IF(T26&gt;0,0,IF(R26&gt;0,0,(-(S26)*($E26))))</f>
        <v>0</v>
      </c>
      <c r="W26" s="742">
        <f>+W25+P26+T26-U26-V26</f>
        <v>0</v>
      </c>
      <c r="X26" s="737">
        <f>'6b-ADIT Projection Proration'!K26</f>
        <v>0</v>
      </c>
      <c r="Y26" s="738">
        <f t="shared" ref="Y26:Y37" si="48">$E26*X26</f>
        <v>0</v>
      </c>
      <c r="Z26" s="738">
        <f t="shared" ref="Z26:Z37" si="49">+Y26+Z25</f>
        <v>0</v>
      </c>
      <c r="AA26" s="740">
        <v>0</v>
      </c>
      <c r="AB26" s="738">
        <f t="shared" ref="AB26:AB37" si="50">AA26-X26</f>
        <v>0</v>
      </c>
      <c r="AC26" s="741">
        <f>IF(AB26&gt;=0,+AB26*E26,0)</f>
        <v>0</v>
      </c>
      <c r="AD26" s="738">
        <f t="shared" ref="AD26:AD37" si="51">IF(AC26&gt;0,0,IF(AA26&lt;0,0,(-(AB26)*($E26))))</f>
        <v>0</v>
      </c>
      <c r="AE26" s="738">
        <f t="shared" ref="AE26:AE37" si="52">IF(AC26&gt;0,0,IF(AA26&gt;0,0,(-(AB26)*($E26))))</f>
        <v>0</v>
      </c>
      <c r="AF26" s="742">
        <f t="shared" ref="AF26:AF28" si="53">+AF25+Y26+AC26-AD26-AE26</f>
        <v>0</v>
      </c>
    </row>
    <row r="27" spans="1:33">
      <c r="A27" s="734">
        <f t="shared" si="34"/>
        <v>17</v>
      </c>
      <c r="B27" s="724" t="s">
        <v>768</v>
      </c>
      <c r="C27" s="720" t="s">
        <v>312</v>
      </c>
      <c r="D27" s="735">
        <f t="shared" si="35"/>
        <v>2027</v>
      </c>
      <c r="E27" s="736">
        <f>307/365</f>
        <v>0.84109589041095889</v>
      </c>
      <c r="F27" s="737">
        <f>'6b-ADIT Projection Proration'!G27</f>
        <v>932.5</v>
      </c>
      <c r="G27" s="738">
        <f t="shared" si="36"/>
        <v>784.32191780821915</v>
      </c>
      <c r="H27" s="738">
        <f t="shared" si="37"/>
        <v>610731.17808219185</v>
      </c>
      <c r="I27" s="740">
        <v>0</v>
      </c>
      <c r="J27" s="738">
        <f t="shared" si="38"/>
        <v>-932.5</v>
      </c>
      <c r="K27" s="741">
        <f t="shared" si="39"/>
        <v>0</v>
      </c>
      <c r="L27" s="738">
        <f t="shared" si="40"/>
        <v>466.25</v>
      </c>
      <c r="M27" s="738">
        <f t="shared" si="41"/>
        <v>466.25</v>
      </c>
      <c r="N27" s="742">
        <f t="shared" si="42"/>
        <v>-224.82191780821915</v>
      </c>
      <c r="O27" s="737">
        <f>'6b-ADIT Projection Proration'!I27</f>
        <v>0</v>
      </c>
      <c r="P27" s="738">
        <f t="shared" si="43"/>
        <v>0</v>
      </c>
      <c r="Q27" s="738">
        <f t="shared" si="44"/>
        <v>0</v>
      </c>
      <c r="R27" s="740">
        <v>0</v>
      </c>
      <c r="S27" s="738">
        <f t="shared" si="45"/>
        <v>0</v>
      </c>
      <c r="T27" s="741">
        <f t="shared" ref="T27:T37" si="54">IF(S27&gt;=0,+S27*E27,0)</f>
        <v>0</v>
      </c>
      <c r="U27" s="738">
        <f t="shared" si="46"/>
        <v>0</v>
      </c>
      <c r="V27" s="738">
        <f t="shared" si="47"/>
        <v>0</v>
      </c>
      <c r="W27" s="742">
        <f t="shared" ref="W27:W28" si="55">+W26+P27+T27-U27-V27</f>
        <v>0</v>
      </c>
      <c r="X27" s="737">
        <f>'6b-ADIT Projection Proration'!K27</f>
        <v>0</v>
      </c>
      <c r="Y27" s="738">
        <f t="shared" si="48"/>
        <v>0</v>
      </c>
      <c r="Z27" s="738">
        <f t="shared" si="49"/>
        <v>0</v>
      </c>
      <c r="AA27" s="740">
        <v>0</v>
      </c>
      <c r="AB27" s="738">
        <f t="shared" si="50"/>
        <v>0</v>
      </c>
      <c r="AC27" s="741">
        <f t="shared" ref="AC27:AC37" si="56">IF(AB27&gt;=0,+AB27*E27,0)</f>
        <v>0</v>
      </c>
      <c r="AD27" s="738">
        <f t="shared" si="51"/>
        <v>0</v>
      </c>
      <c r="AE27" s="738">
        <f t="shared" si="52"/>
        <v>0</v>
      </c>
      <c r="AF27" s="742">
        <f t="shared" si="53"/>
        <v>0</v>
      </c>
    </row>
    <row r="28" spans="1:33">
      <c r="A28" s="734">
        <f t="shared" si="34"/>
        <v>18</v>
      </c>
      <c r="B28" s="724" t="s">
        <v>768</v>
      </c>
      <c r="C28" s="720" t="s">
        <v>313</v>
      </c>
      <c r="D28" s="735">
        <f t="shared" si="35"/>
        <v>2027</v>
      </c>
      <c r="E28" s="736">
        <f>276/365</f>
        <v>0.75616438356164384</v>
      </c>
      <c r="F28" s="737">
        <f>'6b-ADIT Projection Proration'!G28</f>
        <v>932.5</v>
      </c>
      <c r="G28" s="738">
        <f t="shared" si="36"/>
        <v>705.1232876712329</v>
      </c>
      <c r="H28" s="738">
        <f t="shared" si="37"/>
        <v>611436.3013698631</v>
      </c>
      <c r="I28" s="740">
        <v>0</v>
      </c>
      <c r="J28" s="738">
        <f t="shared" si="38"/>
        <v>-932.5</v>
      </c>
      <c r="K28" s="741">
        <f t="shared" si="39"/>
        <v>0</v>
      </c>
      <c r="L28" s="738">
        <f t="shared" si="40"/>
        <v>466.25</v>
      </c>
      <c r="M28" s="738">
        <f t="shared" si="41"/>
        <v>466.25</v>
      </c>
      <c r="N28" s="742">
        <f t="shared" si="42"/>
        <v>-452.19863013698625</v>
      </c>
      <c r="O28" s="737">
        <f>'6b-ADIT Projection Proration'!I28</f>
        <v>0</v>
      </c>
      <c r="P28" s="738">
        <f t="shared" si="43"/>
        <v>0</v>
      </c>
      <c r="Q28" s="738">
        <f t="shared" si="44"/>
        <v>0</v>
      </c>
      <c r="R28" s="740">
        <v>0</v>
      </c>
      <c r="S28" s="738">
        <f t="shared" si="45"/>
        <v>0</v>
      </c>
      <c r="T28" s="741">
        <f t="shared" si="54"/>
        <v>0</v>
      </c>
      <c r="U28" s="738">
        <f t="shared" si="46"/>
        <v>0</v>
      </c>
      <c r="V28" s="738">
        <f t="shared" si="47"/>
        <v>0</v>
      </c>
      <c r="W28" s="742">
        <f t="shared" si="55"/>
        <v>0</v>
      </c>
      <c r="X28" s="737">
        <f>'6b-ADIT Projection Proration'!K28</f>
        <v>0</v>
      </c>
      <c r="Y28" s="738">
        <f t="shared" si="48"/>
        <v>0</v>
      </c>
      <c r="Z28" s="738">
        <f t="shared" si="49"/>
        <v>0</v>
      </c>
      <c r="AA28" s="740">
        <v>0</v>
      </c>
      <c r="AB28" s="738">
        <f t="shared" si="50"/>
        <v>0</v>
      </c>
      <c r="AC28" s="741">
        <f t="shared" si="56"/>
        <v>0</v>
      </c>
      <c r="AD28" s="738">
        <f t="shared" si="51"/>
        <v>0</v>
      </c>
      <c r="AE28" s="738">
        <f t="shared" si="52"/>
        <v>0</v>
      </c>
      <c r="AF28" s="742">
        <f t="shared" si="53"/>
        <v>0</v>
      </c>
    </row>
    <row r="29" spans="1:33">
      <c r="A29" s="734">
        <f t="shared" si="34"/>
        <v>19</v>
      </c>
      <c r="B29" s="724" t="s">
        <v>768</v>
      </c>
      <c r="C29" s="720" t="s">
        <v>314</v>
      </c>
      <c r="D29" s="735">
        <f t="shared" si="35"/>
        <v>2027</v>
      </c>
      <c r="E29" s="736">
        <f>246/365</f>
        <v>0.67397260273972603</v>
      </c>
      <c r="F29" s="737">
        <f>'6b-ADIT Projection Proration'!G29</f>
        <v>932.5</v>
      </c>
      <c r="G29" s="738">
        <f t="shared" si="36"/>
        <v>628.47945205479448</v>
      </c>
      <c r="H29" s="738">
        <f t="shared" si="37"/>
        <v>612064.78082191793</v>
      </c>
      <c r="I29" s="740">
        <v>0</v>
      </c>
      <c r="J29" s="738">
        <f t="shared" si="38"/>
        <v>-932.5</v>
      </c>
      <c r="K29" s="741">
        <f>IF(J29&gt;=0,+J29*0.5,0)</f>
        <v>0</v>
      </c>
      <c r="L29" s="738">
        <f>IF(K29&gt;0,0,IF(I29&lt;0,0,(-(J29)*0.5)))</f>
        <v>466.25</v>
      </c>
      <c r="M29" s="738">
        <f t="shared" si="41"/>
        <v>466.25</v>
      </c>
      <c r="N29" s="742">
        <f>+N28+G29+K29-L29-M29</f>
        <v>-756.21917808219177</v>
      </c>
      <c r="O29" s="737">
        <f>'6b-ADIT Projection Proration'!I29</f>
        <v>0</v>
      </c>
      <c r="P29" s="738">
        <f t="shared" si="43"/>
        <v>0</v>
      </c>
      <c r="Q29" s="738">
        <f t="shared" si="44"/>
        <v>0</v>
      </c>
      <c r="R29" s="740">
        <v>0</v>
      </c>
      <c r="S29" s="738">
        <f t="shared" si="45"/>
        <v>0</v>
      </c>
      <c r="T29" s="741">
        <f t="shared" si="54"/>
        <v>0</v>
      </c>
      <c r="U29" s="738">
        <f t="shared" si="46"/>
        <v>0</v>
      </c>
      <c r="V29" s="738">
        <f t="shared" si="47"/>
        <v>0</v>
      </c>
      <c r="W29" s="742">
        <f>+W28+P29+T29-U29-V29</f>
        <v>0</v>
      </c>
      <c r="X29" s="737">
        <f>'6b-ADIT Projection Proration'!K29</f>
        <v>0</v>
      </c>
      <c r="Y29" s="738">
        <f t="shared" si="48"/>
        <v>0</v>
      </c>
      <c r="Z29" s="738">
        <f t="shared" si="49"/>
        <v>0</v>
      </c>
      <c r="AA29" s="740">
        <v>0</v>
      </c>
      <c r="AB29" s="738">
        <f t="shared" si="50"/>
        <v>0</v>
      </c>
      <c r="AC29" s="741">
        <f t="shared" si="56"/>
        <v>0</v>
      </c>
      <c r="AD29" s="738">
        <f t="shared" si="51"/>
        <v>0</v>
      </c>
      <c r="AE29" s="738">
        <f t="shared" si="52"/>
        <v>0</v>
      </c>
      <c r="AF29" s="742">
        <f>+AF28+Y29+AC29-AD29-AE29</f>
        <v>0</v>
      </c>
    </row>
    <row r="30" spans="1:33">
      <c r="A30" s="734">
        <f t="shared" si="34"/>
        <v>20</v>
      </c>
      <c r="B30" s="724" t="s">
        <v>768</v>
      </c>
      <c r="C30" s="720" t="s">
        <v>315</v>
      </c>
      <c r="D30" s="735">
        <f t="shared" si="35"/>
        <v>2027</v>
      </c>
      <c r="E30" s="736">
        <f>215/365</f>
        <v>0.58904109589041098</v>
      </c>
      <c r="F30" s="737">
        <f>'6b-ADIT Projection Proration'!G30</f>
        <v>932.5</v>
      </c>
      <c r="G30" s="738">
        <f t="shared" si="36"/>
        <v>549.28082191780823</v>
      </c>
      <c r="H30" s="738">
        <f t="shared" si="37"/>
        <v>612614.06164383574</v>
      </c>
      <c r="I30" s="740">
        <v>0</v>
      </c>
      <c r="J30" s="738">
        <f t="shared" si="38"/>
        <v>-932.5</v>
      </c>
      <c r="K30" s="741">
        <f t="shared" ref="K30:K37" si="57">IF(J30&gt;=0,+J30*0.5,0)</f>
        <v>0</v>
      </c>
      <c r="L30" s="738">
        <f t="shared" ref="L30:L37" si="58">IF(K30&gt;0,0,IF(I30&lt;0,0,(-(J30)*0.5)))</f>
        <v>466.25</v>
      </c>
      <c r="M30" s="738">
        <f t="shared" si="41"/>
        <v>466.25</v>
      </c>
      <c r="N30" s="742">
        <f t="shared" ref="N30:N37" si="59">+N29+G30+K30-L30-M30</f>
        <v>-1139.4383561643835</v>
      </c>
      <c r="O30" s="737">
        <f>'6b-ADIT Projection Proration'!I30</f>
        <v>0</v>
      </c>
      <c r="P30" s="738">
        <f t="shared" si="43"/>
        <v>0</v>
      </c>
      <c r="Q30" s="738">
        <f t="shared" si="44"/>
        <v>0</v>
      </c>
      <c r="R30" s="740">
        <v>0</v>
      </c>
      <c r="S30" s="738">
        <f t="shared" si="45"/>
        <v>0</v>
      </c>
      <c r="T30" s="741">
        <f t="shared" si="54"/>
        <v>0</v>
      </c>
      <c r="U30" s="738">
        <f t="shared" si="46"/>
        <v>0</v>
      </c>
      <c r="V30" s="738">
        <f t="shared" si="47"/>
        <v>0</v>
      </c>
      <c r="W30" s="742">
        <f t="shared" ref="W30:W37" si="60">+W29+P30+T30-U30-V30</f>
        <v>0</v>
      </c>
      <c r="X30" s="737">
        <f>'6b-ADIT Projection Proration'!K30</f>
        <v>0</v>
      </c>
      <c r="Y30" s="738">
        <f t="shared" si="48"/>
        <v>0</v>
      </c>
      <c r="Z30" s="738">
        <f t="shared" si="49"/>
        <v>0</v>
      </c>
      <c r="AA30" s="740">
        <v>0</v>
      </c>
      <c r="AB30" s="738">
        <f t="shared" si="50"/>
        <v>0</v>
      </c>
      <c r="AC30" s="741">
        <f t="shared" si="56"/>
        <v>0</v>
      </c>
      <c r="AD30" s="738">
        <f t="shared" si="51"/>
        <v>0</v>
      </c>
      <c r="AE30" s="738">
        <f t="shared" si="52"/>
        <v>0</v>
      </c>
      <c r="AF30" s="742">
        <f t="shared" ref="AF30:AF37" si="61">+AF29+Y30+AC30-AD30-AE30</f>
        <v>0</v>
      </c>
    </row>
    <row r="31" spans="1:33">
      <c r="A31" s="734">
        <f t="shared" si="34"/>
        <v>21</v>
      </c>
      <c r="B31" s="724" t="s">
        <v>768</v>
      </c>
      <c r="C31" s="720" t="s">
        <v>435</v>
      </c>
      <c r="D31" s="735">
        <f t="shared" si="35"/>
        <v>2027</v>
      </c>
      <c r="E31" s="736">
        <f>185/365</f>
        <v>0.50684931506849318</v>
      </c>
      <c r="F31" s="737">
        <f>'6b-ADIT Projection Proration'!G31</f>
        <v>932.5</v>
      </c>
      <c r="G31" s="738">
        <f t="shared" si="36"/>
        <v>472.63698630136992</v>
      </c>
      <c r="H31" s="738">
        <f t="shared" si="37"/>
        <v>613086.69863013714</v>
      </c>
      <c r="I31" s="740">
        <v>0</v>
      </c>
      <c r="J31" s="738">
        <f t="shared" si="38"/>
        <v>-932.5</v>
      </c>
      <c r="K31" s="741">
        <f t="shared" si="57"/>
        <v>0</v>
      </c>
      <c r="L31" s="738">
        <f t="shared" si="58"/>
        <v>466.25</v>
      </c>
      <c r="M31" s="738">
        <f>IF(K31&gt;0,0,IF(I31&gt;0,0,(-(J31)*0.5)))</f>
        <v>466.25</v>
      </c>
      <c r="N31" s="742">
        <f t="shared" si="59"/>
        <v>-1599.3013698630136</v>
      </c>
      <c r="O31" s="737">
        <f>'6b-ADIT Projection Proration'!I31</f>
        <v>0</v>
      </c>
      <c r="P31" s="738">
        <f t="shared" si="43"/>
        <v>0</v>
      </c>
      <c r="Q31" s="738">
        <f t="shared" si="44"/>
        <v>0</v>
      </c>
      <c r="R31" s="740">
        <v>0</v>
      </c>
      <c r="S31" s="738">
        <f t="shared" si="45"/>
        <v>0</v>
      </c>
      <c r="T31" s="741">
        <f t="shared" si="54"/>
        <v>0</v>
      </c>
      <c r="U31" s="738">
        <f t="shared" si="46"/>
        <v>0</v>
      </c>
      <c r="V31" s="738">
        <f t="shared" si="47"/>
        <v>0</v>
      </c>
      <c r="W31" s="742">
        <f t="shared" si="60"/>
        <v>0</v>
      </c>
      <c r="X31" s="737">
        <f>'6b-ADIT Projection Proration'!K31</f>
        <v>0</v>
      </c>
      <c r="Y31" s="738">
        <f t="shared" si="48"/>
        <v>0</v>
      </c>
      <c r="Z31" s="738">
        <f t="shared" si="49"/>
        <v>0</v>
      </c>
      <c r="AA31" s="740">
        <v>0</v>
      </c>
      <c r="AB31" s="738">
        <f t="shared" si="50"/>
        <v>0</v>
      </c>
      <c r="AC31" s="741">
        <f t="shared" si="56"/>
        <v>0</v>
      </c>
      <c r="AD31" s="738">
        <f t="shared" si="51"/>
        <v>0</v>
      </c>
      <c r="AE31" s="738">
        <f t="shared" si="52"/>
        <v>0</v>
      </c>
      <c r="AF31" s="742">
        <f t="shared" si="61"/>
        <v>0</v>
      </c>
    </row>
    <row r="32" spans="1:33">
      <c r="A32" s="734">
        <f t="shared" si="34"/>
        <v>22</v>
      </c>
      <c r="B32" s="724" t="s">
        <v>768</v>
      </c>
      <c r="C32" s="720" t="s">
        <v>317</v>
      </c>
      <c r="D32" s="735">
        <f t="shared" si="35"/>
        <v>2027</v>
      </c>
      <c r="E32" s="736">
        <f>154/365</f>
        <v>0.42191780821917807</v>
      </c>
      <c r="F32" s="737">
        <f>'6b-ADIT Projection Proration'!G32</f>
        <v>932.5</v>
      </c>
      <c r="G32" s="738">
        <f t="shared" si="36"/>
        <v>393.43835616438355</v>
      </c>
      <c r="H32" s="738">
        <f t="shared" si="37"/>
        <v>613480.13698630151</v>
      </c>
      <c r="I32" s="740">
        <v>0</v>
      </c>
      <c r="J32" s="738">
        <f t="shared" si="38"/>
        <v>-932.5</v>
      </c>
      <c r="K32" s="741">
        <f t="shared" si="57"/>
        <v>0</v>
      </c>
      <c r="L32" s="738">
        <f t="shared" si="58"/>
        <v>466.25</v>
      </c>
      <c r="M32" s="738">
        <f t="shared" ref="M32:M37" si="62">IF(K32&gt;0,0,IF(I32&gt;0,0,(-(J32)*0.5)))</f>
        <v>466.25</v>
      </c>
      <c r="N32" s="742">
        <f t="shared" si="59"/>
        <v>-2138.3630136986303</v>
      </c>
      <c r="O32" s="737">
        <f>'6b-ADIT Projection Proration'!I32</f>
        <v>0</v>
      </c>
      <c r="P32" s="738">
        <f t="shared" si="43"/>
        <v>0</v>
      </c>
      <c r="Q32" s="738">
        <f t="shared" si="44"/>
        <v>0</v>
      </c>
      <c r="R32" s="740">
        <v>0</v>
      </c>
      <c r="S32" s="738">
        <f t="shared" si="45"/>
        <v>0</v>
      </c>
      <c r="T32" s="741">
        <f t="shared" si="54"/>
        <v>0</v>
      </c>
      <c r="U32" s="738">
        <f t="shared" si="46"/>
        <v>0</v>
      </c>
      <c r="V32" s="738">
        <f t="shared" si="47"/>
        <v>0</v>
      </c>
      <c r="W32" s="742">
        <f t="shared" si="60"/>
        <v>0</v>
      </c>
      <c r="X32" s="737">
        <f>'6b-ADIT Projection Proration'!K32</f>
        <v>0</v>
      </c>
      <c r="Y32" s="738">
        <f t="shared" si="48"/>
        <v>0</v>
      </c>
      <c r="Z32" s="738">
        <f t="shared" si="49"/>
        <v>0</v>
      </c>
      <c r="AA32" s="740">
        <v>0</v>
      </c>
      <c r="AB32" s="738">
        <f t="shared" si="50"/>
        <v>0</v>
      </c>
      <c r="AC32" s="741">
        <f t="shared" si="56"/>
        <v>0</v>
      </c>
      <c r="AD32" s="738">
        <f t="shared" si="51"/>
        <v>0</v>
      </c>
      <c r="AE32" s="738">
        <f t="shared" si="52"/>
        <v>0</v>
      </c>
      <c r="AF32" s="742">
        <f t="shared" si="61"/>
        <v>0</v>
      </c>
    </row>
    <row r="33" spans="1:33">
      <c r="A33" s="734">
        <f t="shared" si="34"/>
        <v>23</v>
      </c>
      <c r="B33" s="724" t="s">
        <v>768</v>
      </c>
      <c r="C33" s="720" t="s">
        <v>318</v>
      </c>
      <c r="D33" s="735">
        <f t="shared" si="35"/>
        <v>2027</v>
      </c>
      <c r="E33" s="736">
        <f>123/365</f>
        <v>0.33698630136986302</v>
      </c>
      <c r="F33" s="737">
        <f>'6b-ADIT Projection Proration'!G33</f>
        <v>932.5</v>
      </c>
      <c r="G33" s="738">
        <f t="shared" si="36"/>
        <v>314.23972602739724</v>
      </c>
      <c r="H33" s="738">
        <f t="shared" si="37"/>
        <v>613794.37671232887</v>
      </c>
      <c r="I33" s="740">
        <v>0</v>
      </c>
      <c r="J33" s="738">
        <f t="shared" si="38"/>
        <v>-932.5</v>
      </c>
      <c r="K33" s="741">
        <f t="shared" si="57"/>
        <v>0</v>
      </c>
      <c r="L33" s="738">
        <f t="shared" si="58"/>
        <v>466.25</v>
      </c>
      <c r="M33" s="738">
        <f t="shared" si="62"/>
        <v>466.25</v>
      </c>
      <c r="N33" s="742">
        <f t="shared" si="59"/>
        <v>-2756.6232876712329</v>
      </c>
      <c r="O33" s="737">
        <f>'6b-ADIT Projection Proration'!I33</f>
        <v>0</v>
      </c>
      <c r="P33" s="738">
        <f t="shared" si="43"/>
        <v>0</v>
      </c>
      <c r="Q33" s="738">
        <f t="shared" si="44"/>
        <v>0</v>
      </c>
      <c r="R33" s="740">
        <v>0</v>
      </c>
      <c r="S33" s="738">
        <f t="shared" si="45"/>
        <v>0</v>
      </c>
      <c r="T33" s="741">
        <f t="shared" si="54"/>
        <v>0</v>
      </c>
      <c r="U33" s="738">
        <f t="shared" si="46"/>
        <v>0</v>
      </c>
      <c r="V33" s="738">
        <f t="shared" si="47"/>
        <v>0</v>
      </c>
      <c r="W33" s="742">
        <f t="shared" si="60"/>
        <v>0</v>
      </c>
      <c r="X33" s="737">
        <f>'6b-ADIT Projection Proration'!K33</f>
        <v>0</v>
      </c>
      <c r="Y33" s="738">
        <f t="shared" si="48"/>
        <v>0</v>
      </c>
      <c r="Z33" s="738">
        <f t="shared" si="49"/>
        <v>0</v>
      </c>
      <c r="AA33" s="740">
        <v>0</v>
      </c>
      <c r="AB33" s="738">
        <f t="shared" si="50"/>
        <v>0</v>
      </c>
      <c r="AC33" s="741">
        <f t="shared" si="56"/>
        <v>0</v>
      </c>
      <c r="AD33" s="738">
        <f t="shared" si="51"/>
        <v>0</v>
      </c>
      <c r="AE33" s="738">
        <f t="shared" si="52"/>
        <v>0</v>
      </c>
      <c r="AF33" s="742">
        <f t="shared" si="61"/>
        <v>0</v>
      </c>
    </row>
    <row r="34" spans="1:33">
      <c r="A34" s="734">
        <f t="shared" si="34"/>
        <v>24</v>
      </c>
      <c r="B34" s="724" t="s">
        <v>768</v>
      </c>
      <c r="C34" s="720" t="s">
        <v>319</v>
      </c>
      <c r="D34" s="735">
        <f t="shared" si="35"/>
        <v>2027</v>
      </c>
      <c r="E34" s="736">
        <f>93/365</f>
        <v>0.25479452054794521</v>
      </c>
      <c r="F34" s="737">
        <f>'6b-ADIT Projection Proration'!G34</f>
        <v>932.5</v>
      </c>
      <c r="G34" s="738">
        <f t="shared" si="36"/>
        <v>237.5958904109589</v>
      </c>
      <c r="H34" s="738">
        <f t="shared" si="37"/>
        <v>614031.97260273981</v>
      </c>
      <c r="I34" s="740">
        <v>0</v>
      </c>
      <c r="J34" s="738">
        <f t="shared" si="38"/>
        <v>-932.5</v>
      </c>
      <c r="K34" s="741">
        <f t="shared" si="57"/>
        <v>0</v>
      </c>
      <c r="L34" s="738">
        <f t="shared" si="58"/>
        <v>466.25</v>
      </c>
      <c r="M34" s="738">
        <f t="shared" si="62"/>
        <v>466.25</v>
      </c>
      <c r="N34" s="742">
        <f t="shared" si="59"/>
        <v>-3451.527397260274</v>
      </c>
      <c r="O34" s="737">
        <f>'6b-ADIT Projection Proration'!I34</f>
        <v>0</v>
      </c>
      <c r="P34" s="738">
        <f t="shared" si="43"/>
        <v>0</v>
      </c>
      <c r="Q34" s="738">
        <f t="shared" si="44"/>
        <v>0</v>
      </c>
      <c r="R34" s="740">
        <v>0</v>
      </c>
      <c r="S34" s="738">
        <f t="shared" si="45"/>
        <v>0</v>
      </c>
      <c r="T34" s="741">
        <f t="shared" si="54"/>
        <v>0</v>
      </c>
      <c r="U34" s="738">
        <f t="shared" si="46"/>
        <v>0</v>
      </c>
      <c r="V34" s="738">
        <f t="shared" si="47"/>
        <v>0</v>
      </c>
      <c r="W34" s="742">
        <f t="shared" si="60"/>
        <v>0</v>
      </c>
      <c r="X34" s="737">
        <f>'6b-ADIT Projection Proration'!K34</f>
        <v>0</v>
      </c>
      <c r="Y34" s="738">
        <f t="shared" si="48"/>
        <v>0</v>
      </c>
      <c r="Z34" s="738">
        <f t="shared" si="49"/>
        <v>0</v>
      </c>
      <c r="AA34" s="740">
        <v>0</v>
      </c>
      <c r="AB34" s="738">
        <f t="shared" si="50"/>
        <v>0</v>
      </c>
      <c r="AC34" s="741">
        <f t="shared" si="56"/>
        <v>0</v>
      </c>
      <c r="AD34" s="738">
        <f t="shared" si="51"/>
        <v>0</v>
      </c>
      <c r="AE34" s="738">
        <f t="shared" si="52"/>
        <v>0</v>
      </c>
      <c r="AF34" s="742">
        <f t="shared" si="61"/>
        <v>0</v>
      </c>
    </row>
    <row r="35" spans="1:33">
      <c r="A35" s="734">
        <f t="shared" si="34"/>
        <v>25</v>
      </c>
      <c r="B35" s="724" t="s">
        <v>768</v>
      </c>
      <c r="C35" s="720" t="s">
        <v>326</v>
      </c>
      <c r="D35" s="735">
        <f t="shared" si="35"/>
        <v>2027</v>
      </c>
      <c r="E35" s="736">
        <f>62/365</f>
        <v>0.16986301369863013</v>
      </c>
      <c r="F35" s="737">
        <f>'6b-ADIT Projection Proration'!G35</f>
        <v>932.5</v>
      </c>
      <c r="G35" s="738">
        <f t="shared" si="36"/>
        <v>158.39726027397259</v>
      </c>
      <c r="H35" s="738">
        <f t="shared" si="37"/>
        <v>614190.36986301374</v>
      </c>
      <c r="I35" s="740">
        <v>0</v>
      </c>
      <c r="J35" s="738">
        <f t="shared" si="38"/>
        <v>-932.5</v>
      </c>
      <c r="K35" s="741">
        <f t="shared" si="57"/>
        <v>0</v>
      </c>
      <c r="L35" s="738">
        <f t="shared" si="58"/>
        <v>466.25</v>
      </c>
      <c r="M35" s="738">
        <f t="shared" si="62"/>
        <v>466.25</v>
      </c>
      <c r="N35" s="742">
        <f t="shared" si="59"/>
        <v>-4225.6301369863013</v>
      </c>
      <c r="O35" s="737">
        <f>'6b-ADIT Projection Proration'!I35</f>
        <v>0</v>
      </c>
      <c r="P35" s="738">
        <f t="shared" si="43"/>
        <v>0</v>
      </c>
      <c r="Q35" s="738">
        <f t="shared" si="44"/>
        <v>0</v>
      </c>
      <c r="R35" s="740">
        <v>0</v>
      </c>
      <c r="S35" s="738">
        <f t="shared" si="45"/>
        <v>0</v>
      </c>
      <c r="T35" s="741">
        <f t="shared" si="54"/>
        <v>0</v>
      </c>
      <c r="U35" s="738">
        <f t="shared" si="46"/>
        <v>0</v>
      </c>
      <c r="V35" s="738">
        <f t="shared" si="47"/>
        <v>0</v>
      </c>
      <c r="W35" s="742">
        <f t="shared" si="60"/>
        <v>0</v>
      </c>
      <c r="X35" s="737">
        <f>'6b-ADIT Projection Proration'!K35</f>
        <v>0</v>
      </c>
      <c r="Y35" s="738">
        <f t="shared" si="48"/>
        <v>0</v>
      </c>
      <c r="Z35" s="738">
        <f t="shared" si="49"/>
        <v>0</v>
      </c>
      <c r="AA35" s="740">
        <v>0</v>
      </c>
      <c r="AB35" s="738">
        <f t="shared" si="50"/>
        <v>0</v>
      </c>
      <c r="AC35" s="741">
        <f t="shared" si="56"/>
        <v>0</v>
      </c>
      <c r="AD35" s="738">
        <f t="shared" si="51"/>
        <v>0</v>
      </c>
      <c r="AE35" s="738">
        <f t="shared" si="52"/>
        <v>0</v>
      </c>
      <c r="AF35" s="742">
        <f t="shared" si="61"/>
        <v>0</v>
      </c>
    </row>
    <row r="36" spans="1:33">
      <c r="A36" s="734">
        <f t="shared" si="34"/>
        <v>26</v>
      </c>
      <c r="B36" s="724" t="s">
        <v>768</v>
      </c>
      <c r="C36" s="720" t="s">
        <v>321</v>
      </c>
      <c r="D36" s="735">
        <f t="shared" si="35"/>
        <v>2027</v>
      </c>
      <c r="E36" s="736">
        <f>32/365</f>
        <v>8.7671232876712329E-2</v>
      </c>
      <c r="F36" s="737">
        <f>'6b-ADIT Projection Proration'!G36</f>
        <v>932.5</v>
      </c>
      <c r="G36" s="738">
        <f t="shared" si="36"/>
        <v>81.753424657534254</v>
      </c>
      <c r="H36" s="738">
        <f t="shared" si="37"/>
        <v>614272.12328767125</v>
      </c>
      <c r="I36" s="740">
        <v>0</v>
      </c>
      <c r="J36" s="738">
        <f t="shared" si="38"/>
        <v>-932.5</v>
      </c>
      <c r="K36" s="741">
        <f t="shared" si="57"/>
        <v>0</v>
      </c>
      <c r="L36" s="738">
        <f t="shared" si="58"/>
        <v>466.25</v>
      </c>
      <c r="M36" s="738">
        <f t="shared" si="62"/>
        <v>466.25</v>
      </c>
      <c r="N36" s="742">
        <f t="shared" si="59"/>
        <v>-5076.3767123287671</v>
      </c>
      <c r="O36" s="737">
        <f>'6b-ADIT Projection Proration'!I36</f>
        <v>0</v>
      </c>
      <c r="P36" s="738">
        <f t="shared" si="43"/>
        <v>0</v>
      </c>
      <c r="Q36" s="738">
        <f t="shared" si="44"/>
        <v>0</v>
      </c>
      <c r="R36" s="740">
        <v>0</v>
      </c>
      <c r="S36" s="738">
        <f t="shared" si="45"/>
        <v>0</v>
      </c>
      <c r="T36" s="741">
        <f t="shared" si="54"/>
        <v>0</v>
      </c>
      <c r="U36" s="738">
        <f t="shared" si="46"/>
        <v>0</v>
      </c>
      <c r="V36" s="738">
        <f t="shared" si="47"/>
        <v>0</v>
      </c>
      <c r="W36" s="742">
        <f t="shared" si="60"/>
        <v>0</v>
      </c>
      <c r="X36" s="737">
        <f>'6b-ADIT Projection Proration'!K36</f>
        <v>0</v>
      </c>
      <c r="Y36" s="738">
        <f t="shared" si="48"/>
        <v>0</v>
      </c>
      <c r="Z36" s="738">
        <f t="shared" si="49"/>
        <v>0</v>
      </c>
      <c r="AA36" s="740">
        <v>0</v>
      </c>
      <c r="AB36" s="738">
        <f t="shared" si="50"/>
        <v>0</v>
      </c>
      <c r="AC36" s="741">
        <f t="shared" si="56"/>
        <v>0</v>
      </c>
      <c r="AD36" s="738">
        <f t="shared" si="51"/>
        <v>0</v>
      </c>
      <c r="AE36" s="738">
        <f t="shared" si="52"/>
        <v>0</v>
      </c>
      <c r="AF36" s="742">
        <f t="shared" si="61"/>
        <v>0</v>
      </c>
    </row>
    <row r="37" spans="1:33">
      <c r="A37" s="734">
        <f t="shared" si="34"/>
        <v>27</v>
      </c>
      <c r="B37" s="724" t="s">
        <v>768</v>
      </c>
      <c r="C37" s="720" t="s">
        <v>308</v>
      </c>
      <c r="D37" s="735">
        <f t="shared" si="35"/>
        <v>2027</v>
      </c>
      <c r="E37" s="736">
        <f>1/365</f>
        <v>2.7397260273972603E-3</v>
      </c>
      <c r="F37" s="743">
        <f>'6b-ADIT Projection Proration'!G37</f>
        <v>932.5</v>
      </c>
      <c r="G37" s="744">
        <f t="shared" si="36"/>
        <v>2.5547945205479454</v>
      </c>
      <c r="H37" s="744">
        <f t="shared" si="37"/>
        <v>614274.67808219185</v>
      </c>
      <c r="I37" s="740">
        <v>0</v>
      </c>
      <c r="J37" s="738">
        <f t="shared" si="38"/>
        <v>-932.5</v>
      </c>
      <c r="K37" s="741">
        <f t="shared" si="57"/>
        <v>0</v>
      </c>
      <c r="L37" s="738">
        <f t="shared" si="58"/>
        <v>466.25</v>
      </c>
      <c r="M37" s="738">
        <f t="shared" si="62"/>
        <v>466.25</v>
      </c>
      <c r="N37" s="742">
        <f t="shared" si="59"/>
        <v>-6006.321917808219</v>
      </c>
      <c r="O37" s="743">
        <f>'6b-ADIT Projection Proration'!I37</f>
        <v>0</v>
      </c>
      <c r="P37" s="744">
        <f t="shared" si="43"/>
        <v>0</v>
      </c>
      <c r="Q37" s="744">
        <f t="shared" si="44"/>
        <v>0</v>
      </c>
      <c r="R37" s="745">
        <v>0</v>
      </c>
      <c r="S37" s="738">
        <f t="shared" si="45"/>
        <v>0</v>
      </c>
      <c r="T37" s="741">
        <f t="shared" si="54"/>
        <v>0</v>
      </c>
      <c r="U37" s="738">
        <f t="shared" si="46"/>
        <v>0</v>
      </c>
      <c r="V37" s="738">
        <f t="shared" si="47"/>
        <v>0</v>
      </c>
      <c r="W37" s="742">
        <f t="shared" si="60"/>
        <v>0</v>
      </c>
      <c r="X37" s="743">
        <f>'6b-ADIT Projection Proration'!K37</f>
        <v>0</v>
      </c>
      <c r="Y37" s="744">
        <f t="shared" si="48"/>
        <v>0</v>
      </c>
      <c r="Z37" s="744">
        <f t="shared" si="49"/>
        <v>0</v>
      </c>
      <c r="AA37" s="740">
        <v>0</v>
      </c>
      <c r="AB37" s="738">
        <f t="shared" si="50"/>
        <v>0</v>
      </c>
      <c r="AC37" s="741">
        <f t="shared" si="56"/>
        <v>0</v>
      </c>
      <c r="AD37" s="738">
        <f t="shared" si="51"/>
        <v>0</v>
      </c>
      <c r="AE37" s="738">
        <f t="shared" si="52"/>
        <v>0</v>
      </c>
      <c r="AF37" s="742">
        <f t="shared" si="61"/>
        <v>0</v>
      </c>
    </row>
    <row r="38" spans="1:33">
      <c r="A38" s="734">
        <f t="shared" si="34"/>
        <v>28</v>
      </c>
      <c r="B38" s="724" t="s">
        <v>772</v>
      </c>
      <c r="F38" s="737">
        <f t="shared" ref="F38:M38" si="63">SUM(F25:F37)</f>
        <v>11190</v>
      </c>
      <c r="G38" s="747">
        <f t="shared" si="63"/>
        <v>5183.678082191781</v>
      </c>
      <c r="H38" s="738"/>
      <c r="I38" s="747">
        <f t="shared" si="63"/>
        <v>0</v>
      </c>
      <c r="J38" s="747">
        <f t="shared" si="63"/>
        <v>-11190</v>
      </c>
      <c r="K38" s="747">
        <f t="shared" si="63"/>
        <v>0</v>
      </c>
      <c r="L38" s="747">
        <f t="shared" si="63"/>
        <v>5595</v>
      </c>
      <c r="M38" s="747">
        <f t="shared" si="63"/>
        <v>5595</v>
      </c>
      <c r="N38" s="748"/>
      <c r="O38" s="737">
        <f t="shared" ref="O38:P38" si="64">SUM(O25:O37)</f>
        <v>0</v>
      </c>
      <c r="P38" s="747">
        <f t="shared" si="64"/>
        <v>0</v>
      </c>
      <c r="Q38" s="738"/>
      <c r="R38" s="738">
        <f t="shared" ref="R38:V38" si="65">SUM(R25:R37)</f>
        <v>0</v>
      </c>
      <c r="S38" s="747">
        <f t="shared" si="65"/>
        <v>0</v>
      </c>
      <c r="T38" s="747">
        <f t="shared" si="65"/>
        <v>0</v>
      </c>
      <c r="U38" s="747">
        <f t="shared" si="65"/>
        <v>0</v>
      </c>
      <c r="V38" s="747">
        <f t="shared" si="65"/>
        <v>0</v>
      </c>
      <c r="W38" s="748"/>
      <c r="X38" s="737">
        <f t="shared" ref="X38:Y38" si="66">SUM(X25:X37)</f>
        <v>0</v>
      </c>
      <c r="Y38" s="747">
        <f t="shared" si="66"/>
        <v>0</v>
      </c>
      <c r="Z38" s="738"/>
      <c r="AA38" s="747">
        <f t="shared" ref="AA38:AE38" si="67">SUM(AA25:AA37)</f>
        <v>0</v>
      </c>
      <c r="AB38" s="747">
        <f t="shared" si="67"/>
        <v>0</v>
      </c>
      <c r="AC38" s="747">
        <f t="shared" si="67"/>
        <v>0</v>
      </c>
      <c r="AD38" s="747">
        <f t="shared" si="67"/>
        <v>0</v>
      </c>
      <c r="AE38" s="747">
        <f t="shared" si="67"/>
        <v>0</v>
      </c>
      <c r="AF38" s="748"/>
    </row>
    <row r="39" spans="1:33">
      <c r="A39" s="734"/>
      <c r="F39" s="737"/>
      <c r="G39" s="738"/>
      <c r="H39" s="738"/>
      <c r="I39" s="738"/>
      <c r="J39" s="738"/>
      <c r="K39" s="738"/>
      <c r="L39" s="738"/>
      <c r="M39" s="738"/>
      <c r="N39" s="739"/>
      <c r="O39" s="737"/>
      <c r="P39" s="738"/>
      <c r="Q39" s="738"/>
      <c r="R39" s="738"/>
      <c r="S39" s="738"/>
      <c r="T39" s="738"/>
      <c r="U39" s="738"/>
      <c r="V39" s="738"/>
      <c r="W39" s="739"/>
      <c r="X39" s="737"/>
      <c r="Y39" s="738"/>
      <c r="Z39" s="738"/>
      <c r="AA39" s="738"/>
      <c r="AB39" s="738"/>
      <c r="AC39" s="738"/>
      <c r="AD39" s="738"/>
      <c r="AE39" s="738"/>
      <c r="AF39" s="739"/>
    </row>
    <row r="40" spans="1:33">
      <c r="A40" s="720" t="s">
        <v>841</v>
      </c>
      <c r="D40" s="719"/>
      <c r="E40" s="719"/>
      <c r="F40" s="737"/>
      <c r="G40" s="738"/>
      <c r="H40" s="738"/>
      <c r="I40" s="738"/>
      <c r="J40" s="738"/>
      <c r="K40" s="738"/>
      <c r="L40" s="738"/>
      <c r="M40" s="738"/>
      <c r="N40" s="739"/>
      <c r="O40" s="737"/>
      <c r="P40" s="738"/>
      <c r="Q40" s="738"/>
      <c r="R40" s="738"/>
      <c r="S40" s="738"/>
      <c r="T40" s="738"/>
      <c r="U40" s="738"/>
      <c r="V40" s="738"/>
      <c r="W40" s="739"/>
      <c r="X40" s="737"/>
      <c r="Y40" s="738"/>
      <c r="Z40" s="738"/>
      <c r="AA40" s="738"/>
      <c r="AB40" s="738"/>
      <c r="AC40" s="738"/>
      <c r="AD40" s="738"/>
      <c r="AE40" s="738"/>
      <c r="AF40" s="739"/>
      <c r="AG40" s="719"/>
    </row>
    <row r="41" spans="1:33">
      <c r="A41" s="734">
        <f>A38+1</f>
        <v>29</v>
      </c>
      <c r="B41" s="724" t="s">
        <v>842</v>
      </c>
      <c r="C41" s="720" t="s">
        <v>308</v>
      </c>
      <c r="D41" s="735">
        <f>D25</f>
        <v>2026</v>
      </c>
      <c r="E41" s="736">
        <f>365/365</f>
        <v>1</v>
      </c>
      <c r="F41" s="737"/>
      <c r="G41" s="738"/>
      <c r="H41" s="738">
        <f>'6c- ADIT BOY'!E28</f>
        <v>-70430</v>
      </c>
      <c r="I41" s="738"/>
      <c r="J41" s="738"/>
      <c r="K41" s="738"/>
      <c r="L41" s="738"/>
      <c r="M41" s="738"/>
      <c r="N41" s="739"/>
      <c r="O41" s="737"/>
      <c r="P41" s="738"/>
      <c r="Q41" s="738">
        <f>'6c- ADIT BOY'!F28</f>
        <v>0</v>
      </c>
      <c r="R41" s="738"/>
      <c r="S41" s="738"/>
      <c r="T41" s="738"/>
      <c r="U41" s="738"/>
      <c r="V41" s="738"/>
      <c r="W41" s="739"/>
      <c r="X41" s="737"/>
      <c r="Y41" s="738"/>
      <c r="Z41" s="738">
        <f>'6c- ADIT BOY'!G28</f>
        <v>0</v>
      </c>
      <c r="AA41" s="738"/>
      <c r="AB41" s="738"/>
      <c r="AC41" s="738"/>
      <c r="AD41" s="738"/>
      <c r="AE41" s="738"/>
      <c r="AF41" s="739"/>
    </row>
    <row r="42" spans="1:33">
      <c r="A42" s="734">
        <f t="shared" ref="A42:A54" si="68">+A41+1</f>
        <v>30</v>
      </c>
      <c r="B42" s="724" t="s">
        <v>768</v>
      </c>
      <c r="C42" s="720" t="s">
        <v>310</v>
      </c>
      <c r="D42" s="735">
        <f t="shared" ref="D42:D53" si="69">D26</f>
        <v>2027</v>
      </c>
      <c r="E42" s="736">
        <f>335/365</f>
        <v>0.9178082191780822</v>
      </c>
      <c r="F42" s="737">
        <f>'6b-ADIT Projection Proration'!G42</f>
        <v>-737.25</v>
      </c>
      <c r="G42" s="738">
        <f t="shared" ref="G42:G53" si="70">$E42*F42</f>
        <v>-676.65410958904113</v>
      </c>
      <c r="H42" s="738">
        <f t="shared" ref="H42:H53" si="71">+G42+H41</f>
        <v>-71106.654109589042</v>
      </c>
      <c r="I42" s="740">
        <v>0</v>
      </c>
      <c r="J42" s="738">
        <f t="shared" ref="J42:J53" si="72">I42-F42</f>
        <v>737.25</v>
      </c>
      <c r="K42" s="741">
        <f t="shared" ref="K42:K44" si="73">IF(J42&gt;=0,+J42*0.5,0)</f>
        <v>368.625</v>
      </c>
      <c r="L42" s="738">
        <f t="shared" ref="L42:L44" si="74">IF(K42&gt;0,0,IF(I42&lt;0,0,(-(J42)*0.5)))</f>
        <v>0</v>
      </c>
      <c r="M42" s="738">
        <f t="shared" ref="M42:M46" si="75">IF(K42&gt;0,0,IF(I42&gt;0,0,(-(J42)*0.5)))</f>
        <v>0</v>
      </c>
      <c r="N42" s="742">
        <f t="shared" ref="N42:N44" si="76">+N41+G42+K42-L42-M42</f>
        <v>-308.02910958904113</v>
      </c>
      <c r="O42" s="737">
        <f>'6b-ADIT Projection Proration'!I42</f>
        <v>0</v>
      </c>
      <c r="P42" s="738">
        <f t="shared" ref="P42:P53" si="77">$E42*O42</f>
        <v>0</v>
      </c>
      <c r="Q42" s="738">
        <f t="shared" ref="Q42:Q53" si="78">+P42+Q41</f>
        <v>0</v>
      </c>
      <c r="R42" s="740">
        <v>0</v>
      </c>
      <c r="S42" s="738">
        <f t="shared" ref="S42:S53" si="79">R42-O42</f>
        <v>0</v>
      </c>
      <c r="T42" s="741">
        <f>IF(S42&gt;=0,+S42*E42,0)</f>
        <v>0</v>
      </c>
      <c r="U42" s="738">
        <f t="shared" ref="U42:U53" si="80">IF(T42&gt;0,0,IF(R42&lt;0,0,(-(S42)*($E42))))</f>
        <v>0</v>
      </c>
      <c r="V42" s="738">
        <f t="shared" ref="V42:V53" si="81">IF(T42&gt;0,0,IF(R42&gt;0,0,(-(S42)*($E42))))</f>
        <v>0</v>
      </c>
      <c r="W42" s="742">
        <f t="shared" ref="W42:W44" si="82">+W41+P42+T42-U42-V42</f>
        <v>0</v>
      </c>
      <c r="X42" s="737">
        <f>'6b-ADIT Projection Proration'!K42</f>
        <v>0</v>
      </c>
      <c r="Y42" s="738">
        <f t="shared" ref="Y42:Y53" si="83">$E42*X42</f>
        <v>0</v>
      </c>
      <c r="Z42" s="738">
        <f t="shared" ref="Z42:Z53" si="84">+Y42+Z41</f>
        <v>0</v>
      </c>
      <c r="AA42" s="740">
        <v>0</v>
      </c>
      <c r="AB42" s="738">
        <f t="shared" ref="AB42:AB53" si="85">AA42-X42</f>
        <v>0</v>
      </c>
      <c r="AC42" s="741">
        <f>IF(AB42&gt;=0,+AB42*E42,0)</f>
        <v>0</v>
      </c>
      <c r="AD42" s="738">
        <f t="shared" ref="AD42:AD53" si="86">IF(AC42&gt;0,0,IF(AA42&lt;0,0,(-(AB42)*($E42))))</f>
        <v>0</v>
      </c>
      <c r="AE42" s="738">
        <f t="shared" ref="AE42:AE53" si="87">IF(AC42&gt;0,0,IF(AA42&gt;0,0,(-(AB42)*($E42))))</f>
        <v>0</v>
      </c>
      <c r="AF42" s="742">
        <f t="shared" ref="AF42:AF44" si="88">+AF41+Y42+AC42-AD42-AE42</f>
        <v>0</v>
      </c>
    </row>
    <row r="43" spans="1:33">
      <c r="A43" s="734">
        <f t="shared" si="68"/>
        <v>31</v>
      </c>
      <c r="B43" s="724" t="s">
        <v>768</v>
      </c>
      <c r="C43" s="720" t="s">
        <v>312</v>
      </c>
      <c r="D43" s="735">
        <f t="shared" si="69"/>
        <v>2027</v>
      </c>
      <c r="E43" s="736">
        <f>307/365</f>
        <v>0.84109589041095889</v>
      </c>
      <c r="F43" s="737">
        <f>'6b-ADIT Projection Proration'!G43</f>
        <v>-737.25</v>
      </c>
      <c r="G43" s="738">
        <f t="shared" si="70"/>
        <v>-620.09794520547939</v>
      </c>
      <c r="H43" s="738">
        <f t="shared" si="71"/>
        <v>-71726.752054794517</v>
      </c>
      <c r="I43" s="740">
        <v>0</v>
      </c>
      <c r="J43" s="738">
        <f t="shared" si="72"/>
        <v>737.25</v>
      </c>
      <c r="K43" s="741">
        <f t="shared" si="73"/>
        <v>368.625</v>
      </c>
      <c r="L43" s="738">
        <f t="shared" si="74"/>
        <v>0</v>
      </c>
      <c r="M43" s="738">
        <f t="shared" si="75"/>
        <v>0</v>
      </c>
      <c r="N43" s="742">
        <f t="shared" si="76"/>
        <v>-559.50205479452052</v>
      </c>
      <c r="O43" s="737">
        <f>'6b-ADIT Projection Proration'!I43</f>
        <v>0</v>
      </c>
      <c r="P43" s="738">
        <f t="shared" si="77"/>
        <v>0</v>
      </c>
      <c r="Q43" s="738">
        <f t="shared" si="78"/>
        <v>0</v>
      </c>
      <c r="R43" s="740">
        <v>0</v>
      </c>
      <c r="S43" s="738">
        <f t="shared" si="79"/>
        <v>0</v>
      </c>
      <c r="T43" s="741">
        <f t="shared" ref="T43:T53" si="89">IF(S43&gt;=0,+S43*E43,0)</f>
        <v>0</v>
      </c>
      <c r="U43" s="738">
        <f t="shared" si="80"/>
        <v>0</v>
      </c>
      <c r="V43" s="738">
        <f t="shared" si="81"/>
        <v>0</v>
      </c>
      <c r="W43" s="742">
        <f t="shared" si="82"/>
        <v>0</v>
      </c>
      <c r="X43" s="737">
        <f>'6b-ADIT Projection Proration'!K43</f>
        <v>0</v>
      </c>
      <c r="Y43" s="738">
        <f t="shared" si="83"/>
        <v>0</v>
      </c>
      <c r="Z43" s="738">
        <f t="shared" si="84"/>
        <v>0</v>
      </c>
      <c r="AA43" s="740">
        <v>0</v>
      </c>
      <c r="AB43" s="738">
        <f t="shared" si="85"/>
        <v>0</v>
      </c>
      <c r="AC43" s="741">
        <f t="shared" ref="AC43:AC53" si="90">IF(AB43&gt;=0,+AB43*E43,0)</f>
        <v>0</v>
      </c>
      <c r="AD43" s="738">
        <f t="shared" si="86"/>
        <v>0</v>
      </c>
      <c r="AE43" s="738">
        <f t="shared" si="87"/>
        <v>0</v>
      </c>
      <c r="AF43" s="742">
        <f t="shared" si="88"/>
        <v>0</v>
      </c>
    </row>
    <row r="44" spans="1:33">
      <c r="A44" s="734">
        <f t="shared" si="68"/>
        <v>32</v>
      </c>
      <c r="B44" s="724" t="s">
        <v>768</v>
      </c>
      <c r="C44" s="720" t="s">
        <v>313</v>
      </c>
      <c r="D44" s="735">
        <f t="shared" si="69"/>
        <v>2027</v>
      </c>
      <c r="E44" s="736">
        <f>276/365</f>
        <v>0.75616438356164384</v>
      </c>
      <c r="F44" s="737">
        <f>'6b-ADIT Projection Proration'!G44</f>
        <v>-737.25</v>
      </c>
      <c r="G44" s="738">
        <f t="shared" si="70"/>
        <v>-557.48219178082195</v>
      </c>
      <c r="H44" s="738">
        <f t="shared" si="71"/>
        <v>-72284.234246575332</v>
      </c>
      <c r="I44" s="740">
        <v>0</v>
      </c>
      <c r="J44" s="738">
        <f t="shared" si="72"/>
        <v>737.25</v>
      </c>
      <c r="K44" s="741">
        <f t="shared" si="73"/>
        <v>368.625</v>
      </c>
      <c r="L44" s="738">
        <f t="shared" si="74"/>
        <v>0</v>
      </c>
      <c r="M44" s="738">
        <f t="shared" si="75"/>
        <v>0</v>
      </c>
      <c r="N44" s="742">
        <f t="shared" si="76"/>
        <v>-748.35924657534247</v>
      </c>
      <c r="O44" s="737">
        <f>'6b-ADIT Projection Proration'!I44</f>
        <v>0</v>
      </c>
      <c r="P44" s="738">
        <f t="shared" si="77"/>
        <v>0</v>
      </c>
      <c r="Q44" s="738">
        <f t="shared" si="78"/>
        <v>0</v>
      </c>
      <c r="R44" s="740">
        <v>0</v>
      </c>
      <c r="S44" s="738">
        <f t="shared" si="79"/>
        <v>0</v>
      </c>
      <c r="T44" s="741">
        <f t="shared" si="89"/>
        <v>0</v>
      </c>
      <c r="U44" s="738">
        <f t="shared" si="80"/>
        <v>0</v>
      </c>
      <c r="V44" s="738">
        <f t="shared" si="81"/>
        <v>0</v>
      </c>
      <c r="W44" s="742">
        <f t="shared" si="82"/>
        <v>0</v>
      </c>
      <c r="X44" s="737">
        <f>'6b-ADIT Projection Proration'!K44</f>
        <v>0</v>
      </c>
      <c r="Y44" s="738">
        <f t="shared" si="83"/>
        <v>0</v>
      </c>
      <c r="Z44" s="738">
        <f t="shared" si="84"/>
        <v>0</v>
      </c>
      <c r="AA44" s="740">
        <v>0</v>
      </c>
      <c r="AB44" s="738">
        <f t="shared" si="85"/>
        <v>0</v>
      </c>
      <c r="AC44" s="741">
        <f t="shared" si="90"/>
        <v>0</v>
      </c>
      <c r="AD44" s="738">
        <f t="shared" si="86"/>
        <v>0</v>
      </c>
      <c r="AE44" s="738">
        <f t="shared" si="87"/>
        <v>0</v>
      </c>
      <c r="AF44" s="742">
        <f t="shared" si="88"/>
        <v>0</v>
      </c>
    </row>
    <row r="45" spans="1:33">
      <c r="A45" s="734">
        <f t="shared" si="68"/>
        <v>33</v>
      </c>
      <c r="B45" s="724" t="s">
        <v>768</v>
      </c>
      <c r="C45" s="720" t="s">
        <v>314</v>
      </c>
      <c r="D45" s="735">
        <f t="shared" si="69"/>
        <v>2027</v>
      </c>
      <c r="E45" s="736">
        <f>246/365</f>
        <v>0.67397260273972603</v>
      </c>
      <c r="F45" s="737">
        <f>'6b-ADIT Projection Proration'!G45</f>
        <v>-737.25</v>
      </c>
      <c r="G45" s="738">
        <f t="shared" si="70"/>
        <v>-496.88630136986302</v>
      </c>
      <c r="H45" s="738">
        <f t="shared" si="71"/>
        <v>-72781.120547945189</v>
      </c>
      <c r="I45" s="740">
        <v>0</v>
      </c>
      <c r="J45" s="738">
        <f t="shared" si="72"/>
        <v>737.25</v>
      </c>
      <c r="K45" s="741">
        <f>IF(J45&gt;=0,+J45*0.5,0)</f>
        <v>368.625</v>
      </c>
      <c r="L45" s="738">
        <f>IF(K45&gt;0,0,IF(I45&lt;0,0,(-(J45)*0.5)))</f>
        <v>0</v>
      </c>
      <c r="M45" s="738">
        <f t="shared" si="75"/>
        <v>0</v>
      </c>
      <c r="N45" s="742">
        <f>+N44+G45+K45-L45-M45</f>
        <v>-876.62054794520554</v>
      </c>
      <c r="O45" s="737">
        <f>'6b-ADIT Projection Proration'!I45</f>
        <v>0</v>
      </c>
      <c r="P45" s="738">
        <f t="shared" si="77"/>
        <v>0</v>
      </c>
      <c r="Q45" s="738">
        <f t="shared" si="78"/>
        <v>0</v>
      </c>
      <c r="R45" s="740">
        <v>0</v>
      </c>
      <c r="S45" s="738">
        <f t="shared" si="79"/>
        <v>0</v>
      </c>
      <c r="T45" s="741">
        <f t="shared" si="89"/>
        <v>0</v>
      </c>
      <c r="U45" s="738">
        <f t="shared" si="80"/>
        <v>0</v>
      </c>
      <c r="V45" s="738">
        <f t="shared" si="81"/>
        <v>0</v>
      </c>
      <c r="W45" s="742">
        <f>+W44+P45+T45-U45-V45</f>
        <v>0</v>
      </c>
      <c r="X45" s="737">
        <f>'6b-ADIT Projection Proration'!K45</f>
        <v>0</v>
      </c>
      <c r="Y45" s="738">
        <f t="shared" si="83"/>
        <v>0</v>
      </c>
      <c r="Z45" s="738">
        <f t="shared" si="84"/>
        <v>0</v>
      </c>
      <c r="AA45" s="740">
        <v>0</v>
      </c>
      <c r="AB45" s="738">
        <f t="shared" si="85"/>
        <v>0</v>
      </c>
      <c r="AC45" s="741">
        <f t="shared" si="90"/>
        <v>0</v>
      </c>
      <c r="AD45" s="738">
        <f t="shared" si="86"/>
        <v>0</v>
      </c>
      <c r="AE45" s="738">
        <f t="shared" si="87"/>
        <v>0</v>
      </c>
      <c r="AF45" s="742">
        <f>+AF44+Y45+AC45-AD45-AE45</f>
        <v>0</v>
      </c>
    </row>
    <row r="46" spans="1:33">
      <c r="A46" s="734">
        <f t="shared" si="68"/>
        <v>34</v>
      </c>
      <c r="B46" s="724" t="s">
        <v>768</v>
      </c>
      <c r="C46" s="720" t="s">
        <v>315</v>
      </c>
      <c r="D46" s="735">
        <f t="shared" si="69"/>
        <v>2027</v>
      </c>
      <c r="E46" s="736">
        <f>215/365</f>
        <v>0.58904109589041098</v>
      </c>
      <c r="F46" s="737">
        <f>'6b-ADIT Projection Proration'!G46</f>
        <v>-737.25</v>
      </c>
      <c r="G46" s="738">
        <f t="shared" si="70"/>
        <v>-434.27054794520552</v>
      </c>
      <c r="H46" s="738">
        <f t="shared" si="71"/>
        <v>-73215.391095890402</v>
      </c>
      <c r="I46" s="740">
        <v>0</v>
      </c>
      <c r="J46" s="738">
        <f t="shared" si="72"/>
        <v>737.25</v>
      </c>
      <c r="K46" s="741">
        <f t="shared" ref="K46:K53" si="91">IF(J46&gt;=0,+J46*0.5,0)</f>
        <v>368.625</v>
      </c>
      <c r="L46" s="738">
        <f t="shared" ref="L46:L53" si="92">IF(K46&gt;0,0,IF(I46&lt;0,0,(-(J46)*0.5)))</f>
        <v>0</v>
      </c>
      <c r="M46" s="738">
        <f t="shared" si="75"/>
        <v>0</v>
      </c>
      <c r="N46" s="742">
        <f t="shared" ref="N46:N53" si="93">+N45+G46+K46-L46-M46</f>
        <v>-942.26609589041118</v>
      </c>
      <c r="O46" s="737">
        <f>'6b-ADIT Projection Proration'!I46</f>
        <v>0</v>
      </c>
      <c r="P46" s="738">
        <f t="shared" si="77"/>
        <v>0</v>
      </c>
      <c r="Q46" s="738">
        <f t="shared" si="78"/>
        <v>0</v>
      </c>
      <c r="R46" s="740">
        <v>0</v>
      </c>
      <c r="S46" s="738">
        <f t="shared" si="79"/>
        <v>0</v>
      </c>
      <c r="T46" s="741">
        <f t="shared" si="89"/>
        <v>0</v>
      </c>
      <c r="U46" s="738">
        <f t="shared" si="80"/>
        <v>0</v>
      </c>
      <c r="V46" s="738">
        <f t="shared" si="81"/>
        <v>0</v>
      </c>
      <c r="W46" s="742">
        <f t="shared" ref="W46:W53" si="94">+W45+P46+T46-U46-V46</f>
        <v>0</v>
      </c>
      <c r="X46" s="737">
        <f>'6b-ADIT Projection Proration'!K46</f>
        <v>0</v>
      </c>
      <c r="Y46" s="738">
        <f t="shared" si="83"/>
        <v>0</v>
      </c>
      <c r="Z46" s="738">
        <f t="shared" si="84"/>
        <v>0</v>
      </c>
      <c r="AA46" s="740">
        <v>0</v>
      </c>
      <c r="AB46" s="738">
        <f t="shared" si="85"/>
        <v>0</v>
      </c>
      <c r="AC46" s="741">
        <f t="shared" si="90"/>
        <v>0</v>
      </c>
      <c r="AD46" s="738">
        <f t="shared" si="86"/>
        <v>0</v>
      </c>
      <c r="AE46" s="738">
        <f t="shared" si="87"/>
        <v>0</v>
      </c>
      <c r="AF46" s="742">
        <f t="shared" ref="AF46:AF53" si="95">+AF45+Y46+AC46-AD46-AE46</f>
        <v>0</v>
      </c>
    </row>
    <row r="47" spans="1:33">
      <c r="A47" s="734">
        <f t="shared" si="68"/>
        <v>35</v>
      </c>
      <c r="B47" s="724" t="s">
        <v>768</v>
      </c>
      <c r="C47" s="720" t="s">
        <v>435</v>
      </c>
      <c r="D47" s="735">
        <f t="shared" si="69"/>
        <v>2027</v>
      </c>
      <c r="E47" s="736">
        <f>185/365</f>
        <v>0.50684931506849318</v>
      </c>
      <c r="F47" s="737">
        <f>'6b-ADIT Projection Proration'!G47</f>
        <v>-737.25</v>
      </c>
      <c r="G47" s="738">
        <f t="shared" si="70"/>
        <v>-373.67465753424659</v>
      </c>
      <c r="H47" s="738">
        <f t="shared" si="71"/>
        <v>-73589.065753424642</v>
      </c>
      <c r="I47" s="740">
        <v>0</v>
      </c>
      <c r="J47" s="738">
        <f t="shared" si="72"/>
        <v>737.25</v>
      </c>
      <c r="K47" s="741">
        <f t="shared" si="91"/>
        <v>368.625</v>
      </c>
      <c r="L47" s="738">
        <f t="shared" si="92"/>
        <v>0</v>
      </c>
      <c r="M47" s="738">
        <f>IF(K47&gt;0,0,IF(I47&gt;0,0,(-(J47)*0.5)))</f>
        <v>0</v>
      </c>
      <c r="N47" s="742">
        <f t="shared" si="93"/>
        <v>-947.31575342465771</v>
      </c>
      <c r="O47" s="737">
        <f>'6b-ADIT Projection Proration'!I47</f>
        <v>0</v>
      </c>
      <c r="P47" s="738">
        <f t="shared" si="77"/>
        <v>0</v>
      </c>
      <c r="Q47" s="738">
        <f t="shared" si="78"/>
        <v>0</v>
      </c>
      <c r="R47" s="740">
        <v>0</v>
      </c>
      <c r="S47" s="738">
        <f t="shared" si="79"/>
        <v>0</v>
      </c>
      <c r="T47" s="741">
        <f t="shared" si="89"/>
        <v>0</v>
      </c>
      <c r="U47" s="738">
        <f t="shared" si="80"/>
        <v>0</v>
      </c>
      <c r="V47" s="738">
        <f t="shared" si="81"/>
        <v>0</v>
      </c>
      <c r="W47" s="742">
        <f t="shared" si="94"/>
        <v>0</v>
      </c>
      <c r="X47" s="737">
        <f>'6b-ADIT Projection Proration'!K47</f>
        <v>0</v>
      </c>
      <c r="Y47" s="738">
        <f t="shared" si="83"/>
        <v>0</v>
      </c>
      <c r="Z47" s="738">
        <f t="shared" si="84"/>
        <v>0</v>
      </c>
      <c r="AA47" s="740">
        <v>0</v>
      </c>
      <c r="AB47" s="738">
        <f t="shared" si="85"/>
        <v>0</v>
      </c>
      <c r="AC47" s="741">
        <f t="shared" si="90"/>
        <v>0</v>
      </c>
      <c r="AD47" s="738">
        <f t="shared" si="86"/>
        <v>0</v>
      </c>
      <c r="AE47" s="738">
        <f t="shared" si="87"/>
        <v>0</v>
      </c>
      <c r="AF47" s="742">
        <f t="shared" si="95"/>
        <v>0</v>
      </c>
    </row>
    <row r="48" spans="1:33">
      <c r="A48" s="734">
        <f t="shared" si="68"/>
        <v>36</v>
      </c>
      <c r="B48" s="724" t="s">
        <v>768</v>
      </c>
      <c r="C48" s="720" t="s">
        <v>317</v>
      </c>
      <c r="D48" s="735">
        <f t="shared" si="69"/>
        <v>2027</v>
      </c>
      <c r="E48" s="736">
        <f>154/365</f>
        <v>0.42191780821917807</v>
      </c>
      <c r="F48" s="737">
        <f>'6b-ADIT Projection Proration'!G48</f>
        <v>-737.25</v>
      </c>
      <c r="G48" s="738">
        <f t="shared" si="70"/>
        <v>-311.05890410958904</v>
      </c>
      <c r="H48" s="738">
        <f t="shared" si="71"/>
        <v>-73900.124657534237</v>
      </c>
      <c r="I48" s="740">
        <v>0</v>
      </c>
      <c r="J48" s="738">
        <f t="shared" si="72"/>
        <v>737.25</v>
      </c>
      <c r="K48" s="741">
        <f t="shared" si="91"/>
        <v>368.625</v>
      </c>
      <c r="L48" s="738">
        <f t="shared" si="92"/>
        <v>0</v>
      </c>
      <c r="M48" s="738">
        <f t="shared" ref="M48:M53" si="96">IF(K48&gt;0,0,IF(I48&gt;0,0,(-(J48)*0.5)))</f>
        <v>0</v>
      </c>
      <c r="N48" s="742">
        <f t="shared" si="93"/>
        <v>-889.74965753424681</v>
      </c>
      <c r="O48" s="737">
        <f>'6b-ADIT Projection Proration'!I48</f>
        <v>0</v>
      </c>
      <c r="P48" s="738">
        <f t="shared" si="77"/>
        <v>0</v>
      </c>
      <c r="Q48" s="738">
        <f t="shared" si="78"/>
        <v>0</v>
      </c>
      <c r="R48" s="740">
        <v>0</v>
      </c>
      <c r="S48" s="738">
        <f t="shared" si="79"/>
        <v>0</v>
      </c>
      <c r="T48" s="741">
        <f t="shared" si="89"/>
        <v>0</v>
      </c>
      <c r="U48" s="738">
        <f t="shared" si="80"/>
        <v>0</v>
      </c>
      <c r="V48" s="738">
        <f t="shared" si="81"/>
        <v>0</v>
      </c>
      <c r="W48" s="742">
        <f t="shared" si="94"/>
        <v>0</v>
      </c>
      <c r="X48" s="737">
        <f>'6b-ADIT Projection Proration'!K48</f>
        <v>0</v>
      </c>
      <c r="Y48" s="738">
        <f t="shared" si="83"/>
        <v>0</v>
      </c>
      <c r="Z48" s="738">
        <f t="shared" si="84"/>
        <v>0</v>
      </c>
      <c r="AA48" s="740">
        <v>0</v>
      </c>
      <c r="AB48" s="738">
        <f t="shared" si="85"/>
        <v>0</v>
      </c>
      <c r="AC48" s="741">
        <f t="shared" si="90"/>
        <v>0</v>
      </c>
      <c r="AD48" s="738">
        <f t="shared" si="86"/>
        <v>0</v>
      </c>
      <c r="AE48" s="738">
        <f t="shared" si="87"/>
        <v>0</v>
      </c>
      <c r="AF48" s="742">
        <f t="shared" si="95"/>
        <v>0</v>
      </c>
    </row>
    <row r="49" spans="1:32">
      <c r="A49" s="734">
        <f t="shared" si="68"/>
        <v>37</v>
      </c>
      <c r="B49" s="724" t="s">
        <v>768</v>
      </c>
      <c r="C49" s="720" t="s">
        <v>318</v>
      </c>
      <c r="D49" s="735">
        <f t="shared" si="69"/>
        <v>2027</v>
      </c>
      <c r="E49" s="736">
        <f>123/365</f>
        <v>0.33698630136986302</v>
      </c>
      <c r="F49" s="737">
        <f>'6b-ADIT Projection Proration'!G49</f>
        <v>-737.25</v>
      </c>
      <c r="G49" s="738">
        <f t="shared" si="70"/>
        <v>-248.44315068493151</v>
      </c>
      <c r="H49" s="738">
        <f t="shared" si="71"/>
        <v>-74148.567808219173</v>
      </c>
      <c r="I49" s="740">
        <v>0</v>
      </c>
      <c r="J49" s="738">
        <f t="shared" si="72"/>
        <v>737.25</v>
      </c>
      <c r="K49" s="741">
        <f t="shared" si="91"/>
        <v>368.625</v>
      </c>
      <c r="L49" s="738">
        <f t="shared" si="92"/>
        <v>0</v>
      </c>
      <c r="M49" s="738">
        <f t="shared" si="96"/>
        <v>0</v>
      </c>
      <c r="N49" s="742">
        <f t="shared" si="93"/>
        <v>-769.56780821917823</v>
      </c>
      <c r="O49" s="737">
        <f>'6b-ADIT Projection Proration'!I49</f>
        <v>0</v>
      </c>
      <c r="P49" s="738">
        <f t="shared" si="77"/>
        <v>0</v>
      </c>
      <c r="Q49" s="738">
        <f t="shared" si="78"/>
        <v>0</v>
      </c>
      <c r="R49" s="740">
        <v>0</v>
      </c>
      <c r="S49" s="738">
        <f t="shared" si="79"/>
        <v>0</v>
      </c>
      <c r="T49" s="741">
        <f t="shared" si="89"/>
        <v>0</v>
      </c>
      <c r="U49" s="738">
        <f t="shared" si="80"/>
        <v>0</v>
      </c>
      <c r="V49" s="738">
        <f t="shared" si="81"/>
        <v>0</v>
      </c>
      <c r="W49" s="742">
        <f t="shared" si="94"/>
        <v>0</v>
      </c>
      <c r="X49" s="737">
        <f>'6b-ADIT Projection Proration'!K49</f>
        <v>0</v>
      </c>
      <c r="Y49" s="738">
        <f t="shared" si="83"/>
        <v>0</v>
      </c>
      <c r="Z49" s="738">
        <f t="shared" si="84"/>
        <v>0</v>
      </c>
      <c r="AA49" s="740">
        <v>0</v>
      </c>
      <c r="AB49" s="738">
        <f t="shared" si="85"/>
        <v>0</v>
      </c>
      <c r="AC49" s="741">
        <f t="shared" si="90"/>
        <v>0</v>
      </c>
      <c r="AD49" s="738">
        <f t="shared" si="86"/>
        <v>0</v>
      </c>
      <c r="AE49" s="738">
        <f t="shared" si="87"/>
        <v>0</v>
      </c>
      <c r="AF49" s="742">
        <f t="shared" si="95"/>
        <v>0</v>
      </c>
    </row>
    <row r="50" spans="1:32">
      <c r="A50" s="734">
        <f t="shared" si="68"/>
        <v>38</v>
      </c>
      <c r="B50" s="724" t="s">
        <v>768</v>
      </c>
      <c r="C50" s="720" t="s">
        <v>319</v>
      </c>
      <c r="D50" s="735">
        <f t="shared" si="69"/>
        <v>2027</v>
      </c>
      <c r="E50" s="736">
        <f>93/365</f>
        <v>0.25479452054794521</v>
      </c>
      <c r="F50" s="737">
        <f>'6b-ADIT Projection Proration'!G50</f>
        <v>-737.25</v>
      </c>
      <c r="G50" s="738">
        <f t="shared" si="70"/>
        <v>-187.84726027397261</v>
      </c>
      <c r="H50" s="738">
        <f t="shared" si="71"/>
        <v>-74336.415068493152</v>
      </c>
      <c r="I50" s="740">
        <v>0</v>
      </c>
      <c r="J50" s="738">
        <f t="shared" si="72"/>
        <v>737.25</v>
      </c>
      <c r="K50" s="741">
        <f t="shared" si="91"/>
        <v>368.625</v>
      </c>
      <c r="L50" s="738">
        <f t="shared" si="92"/>
        <v>0</v>
      </c>
      <c r="M50" s="738">
        <f t="shared" si="96"/>
        <v>0</v>
      </c>
      <c r="N50" s="742">
        <f t="shared" si="93"/>
        <v>-588.79006849315078</v>
      </c>
      <c r="O50" s="737">
        <f>'6b-ADIT Projection Proration'!I50</f>
        <v>0</v>
      </c>
      <c r="P50" s="738">
        <f t="shared" si="77"/>
        <v>0</v>
      </c>
      <c r="Q50" s="738">
        <f t="shared" si="78"/>
        <v>0</v>
      </c>
      <c r="R50" s="740">
        <v>0</v>
      </c>
      <c r="S50" s="738">
        <f t="shared" si="79"/>
        <v>0</v>
      </c>
      <c r="T50" s="741">
        <f t="shared" si="89"/>
        <v>0</v>
      </c>
      <c r="U50" s="738">
        <f t="shared" si="80"/>
        <v>0</v>
      </c>
      <c r="V50" s="738">
        <f t="shared" si="81"/>
        <v>0</v>
      </c>
      <c r="W50" s="742">
        <f t="shared" si="94"/>
        <v>0</v>
      </c>
      <c r="X50" s="737">
        <f>'6b-ADIT Projection Proration'!K50</f>
        <v>0</v>
      </c>
      <c r="Y50" s="738">
        <f t="shared" si="83"/>
        <v>0</v>
      </c>
      <c r="Z50" s="738">
        <f t="shared" si="84"/>
        <v>0</v>
      </c>
      <c r="AA50" s="740">
        <v>0</v>
      </c>
      <c r="AB50" s="738">
        <f t="shared" si="85"/>
        <v>0</v>
      </c>
      <c r="AC50" s="741">
        <f t="shared" si="90"/>
        <v>0</v>
      </c>
      <c r="AD50" s="738">
        <f t="shared" si="86"/>
        <v>0</v>
      </c>
      <c r="AE50" s="738">
        <f t="shared" si="87"/>
        <v>0</v>
      </c>
      <c r="AF50" s="742">
        <f t="shared" si="95"/>
        <v>0</v>
      </c>
    </row>
    <row r="51" spans="1:32">
      <c r="A51" s="734">
        <f t="shared" si="68"/>
        <v>39</v>
      </c>
      <c r="B51" s="724" t="s">
        <v>768</v>
      </c>
      <c r="C51" s="720" t="s">
        <v>326</v>
      </c>
      <c r="D51" s="735">
        <f t="shared" si="69"/>
        <v>2027</v>
      </c>
      <c r="E51" s="736">
        <f>62/365</f>
        <v>0.16986301369863013</v>
      </c>
      <c r="F51" s="737">
        <f>'6b-ADIT Projection Proration'!G51</f>
        <v>-737.25</v>
      </c>
      <c r="G51" s="738">
        <f t="shared" si="70"/>
        <v>-125.23150684931507</v>
      </c>
      <c r="H51" s="738">
        <f t="shared" si="71"/>
        <v>-74461.646575342471</v>
      </c>
      <c r="I51" s="740">
        <v>0</v>
      </c>
      <c r="J51" s="738">
        <f t="shared" si="72"/>
        <v>737.25</v>
      </c>
      <c r="K51" s="741">
        <f t="shared" si="91"/>
        <v>368.625</v>
      </c>
      <c r="L51" s="738">
        <f t="shared" si="92"/>
        <v>0</v>
      </c>
      <c r="M51" s="738">
        <f t="shared" si="96"/>
        <v>0</v>
      </c>
      <c r="N51" s="742">
        <f t="shared" si="93"/>
        <v>-345.39657534246589</v>
      </c>
      <c r="O51" s="737">
        <f>'6b-ADIT Projection Proration'!I51</f>
        <v>0</v>
      </c>
      <c r="P51" s="738">
        <f t="shared" si="77"/>
        <v>0</v>
      </c>
      <c r="Q51" s="738">
        <f t="shared" si="78"/>
        <v>0</v>
      </c>
      <c r="R51" s="740">
        <v>0</v>
      </c>
      <c r="S51" s="738">
        <f t="shared" si="79"/>
        <v>0</v>
      </c>
      <c r="T51" s="741">
        <f t="shared" si="89"/>
        <v>0</v>
      </c>
      <c r="U51" s="738">
        <f t="shared" si="80"/>
        <v>0</v>
      </c>
      <c r="V51" s="738">
        <f t="shared" si="81"/>
        <v>0</v>
      </c>
      <c r="W51" s="742">
        <f t="shared" si="94"/>
        <v>0</v>
      </c>
      <c r="X51" s="737">
        <f>'6b-ADIT Projection Proration'!K51</f>
        <v>0</v>
      </c>
      <c r="Y51" s="738">
        <f t="shared" si="83"/>
        <v>0</v>
      </c>
      <c r="Z51" s="738">
        <f t="shared" si="84"/>
        <v>0</v>
      </c>
      <c r="AA51" s="740">
        <v>0</v>
      </c>
      <c r="AB51" s="738">
        <f t="shared" si="85"/>
        <v>0</v>
      </c>
      <c r="AC51" s="741">
        <f t="shared" si="90"/>
        <v>0</v>
      </c>
      <c r="AD51" s="738">
        <f t="shared" si="86"/>
        <v>0</v>
      </c>
      <c r="AE51" s="738">
        <f t="shared" si="87"/>
        <v>0</v>
      </c>
      <c r="AF51" s="742">
        <f t="shared" si="95"/>
        <v>0</v>
      </c>
    </row>
    <row r="52" spans="1:32">
      <c r="A52" s="734">
        <f t="shared" si="68"/>
        <v>40</v>
      </c>
      <c r="B52" s="724" t="s">
        <v>768</v>
      </c>
      <c r="C52" s="720" t="s">
        <v>321</v>
      </c>
      <c r="D52" s="735">
        <f t="shared" si="69"/>
        <v>2027</v>
      </c>
      <c r="E52" s="736">
        <f>32/365</f>
        <v>8.7671232876712329E-2</v>
      </c>
      <c r="F52" s="737">
        <f>'6b-ADIT Projection Proration'!G52</f>
        <v>-737.25</v>
      </c>
      <c r="G52" s="738">
        <f t="shared" si="70"/>
        <v>-64.635616438356166</v>
      </c>
      <c r="H52" s="738">
        <f t="shared" si="71"/>
        <v>-74526.282191780832</v>
      </c>
      <c r="I52" s="740">
        <v>0</v>
      </c>
      <c r="J52" s="738">
        <f t="shared" si="72"/>
        <v>737.25</v>
      </c>
      <c r="K52" s="741">
        <f t="shared" si="91"/>
        <v>368.625</v>
      </c>
      <c r="L52" s="738">
        <f t="shared" si="92"/>
        <v>0</v>
      </c>
      <c r="M52" s="738">
        <f t="shared" si="96"/>
        <v>0</v>
      </c>
      <c r="N52" s="742">
        <f t="shared" si="93"/>
        <v>-41.407191780822075</v>
      </c>
      <c r="O52" s="737">
        <f>'6b-ADIT Projection Proration'!I52</f>
        <v>0</v>
      </c>
      <c r="P52" s="738">
        <f t="shared" si="77"/>
        <v>0</v>
      </c>
      <c r="Q52" s="738">
        <f t="shared" si="78"/>
        <v>0</v>
      </c>
      <c r="R52" s="740">
        <v>0</v>
      </c>
      <c r="S52" s="738">
        <f t="shared" si="79"/>
        <v>0</v>
      </c>
      <c r="T52" s="741">
        <f t="shared" si="89"/>
        <v>0</v>
      </c>
      <c r="U52" s="738">
        <f t="shared" si="80"/>
        <v>0</v>
      </c>
      <c r="V52" s="738">
        <f t="shared" si="81"/>
        <v>0</v>
      </c>
      <c r="W52" s="742">
        <f t="shared" si="94"/>
        <v>0</v>
      </c>
      <c r="X52" s="737">
        <f>'6b-ADIT Projection Proration'!K52</f>
        <v>0</v>
      </c>
      <c r="Y52" s="738">
        <f t="shared" si="83"/>
        <v>0</v>
      </c>
      <c r="Z52" s="738">
        <f t="shared" si="84"/>
        <v>0</v>
      </c>
      <c r="AA52" s="740">
        <v>0</v>
      </c>
      <c r="AB52" s="738">
        <f t="shared" si="85"/>
        <v>0</v>
      </c>
      <c r="AC52" s="741">
        <f t="shared" si="90"/>
        <v>0</v>
      </c>
      <c r="AD52" s="738">
        <f t="shared" si="86"/>
        <v>0</v>
      </c>
      <c r="AE52" s="738">
        <f t="shared" si="87"/>
        <v>0</v>
      </c>
      <c r="AF52" s="742">
        <f t="shared" si="95"/>
        <v>0</v>
      </c>
    </row>
    <row r="53" spans="1:32">
      <c r="A53" s="734">
        <f t="shared" si="68"/>
        <v>41</v>
      </c>
      <c r="B53" s="724" t="s">
        <v>768</v>
      </c>
      <c r="C53" s="720" t="s">
        <v>308</v>
      </c>
      <c r="D53" s="735">
        <f t="shared" si="69"/>
        <v>2027</v>
      </c>
      <c r="E53" s="736">
        <f>1/365</f>
        <v>2.7397260273972603E-3</v>
      </c>
      <c r="F53" s="743">
        <f>'6b-ADIT Projection Proration'!G53</f>
        <v>-737.25</v>
      </c>
      <c r="G53" s="744">
        <f t="shared" si="70"/>
        <v>-2.0198630136986302</v>
      </c>
      <c r="H53" s="744">
        <f t="shared" si="71"/>
        <v>-74528.302054794534</v>
      </c>
      <c r="I53" s="740">
        <v>0</v>
      </c>
      <c r="J53" s="738">
        <f t="shared" si="72"/>
        <v>737.25</v>
      </c>
      <c r="K53" s="741">
        <f t="shared" si="91"/>
        <v>368.625</v>
      </c>
      <c r="L53" s="738">
        <f t="shared" si="92"/>
        <v>0</v>
      </c>
      <c r="M53" s="738">
        <f t="shared" si="96"/>
        <v>0</v>
      </c>
      <c r="N53" s="742">
        <f t="shared" si="93"/>
        <v>325.1979452054793</v>
      </c>
      <c r="O53" s="743">
        <f>'6b-ADIT Projection Proration'!I53</f>
        <v>0</v>
      </c>
      <c r="P53" s="744">
        <f t="shared" si="77"/>
        <v>0</v>
      </c>
      <c r="Q53" s="744">
        <f t="shared" si="78"/>
        <v>0</v>
      </c>
      <c r="R53" s="745">
        <v>0</v>
      </c>
      <c r="S53" s="738">
        <f t="shared" si="79"/>
        <v>0</v>
      </c>
      <c r="T53" s="741">
        <f t="shared" si="89"/>
        <v>0</v>
      </c>
      <c r="U53" s="738">
        <f t="shared" si="80"/>
        <v>0</v>
      </c>
      <c r="V53" s="738">
        <f t="shared" si="81"/>
        <v>0</v>
      </c>
      <c r="W53" s="742">
        <f t="shared" si="94"/>
        <v>0</v>
      </c>
      <c r="X53" s="737">
        <f>'6b-ADIT Projection Proration'!K53</f>
        <v>0</v>
      </c>
      <c r="Y53" s="738">
        <f t="shared" si="83"/>
        <v>0</v>
      </c>
      <c r="Z53" s="738">
        <f t="shared" si="84"/>
        <v>0</v>
      </c>
      <c r="AA53" s="740">
        <v>0</v>
      </c>
      <c r="AB53" s="738">
        <f t="shared" si="85"/>
        <v>0</v>
      </c>
      <c r="AC53" s="741">
        <f t="shared" si="90"/>
        <v>0</v>
      </c>
      <c r="AD53" s="738">
        <f t="shared" si="86"/>
        <v>0</v>
      </c>
      <c r="AE53" s="738">
        <f t="shared" si="87"/>
        <v>0</v>
      </c>
      <c r="AF53" s="742">
        <f t="shared" si="95"/>
        <v>0</v>
      </c>
    </row>
    <row r="54" spans="1:32" ht="13.5" thickBot="1">
      <c r="A54" s="734">
        <f t="shared" si="68"/>
        <v>42</v>
      </c>
      <c r="B54" s="724" t="s">
        <v>775</v>
      </c>
      <c r="F54" s="749">
        <f t="shared" ref="F54:M54" si="97">SUM(F41:F53)</f>
        <v>-8847</v>
      </c>
      <c r="G54" s="750">
        <f t="shared" si="97"/>
        <v>-4098.3020547945207</v>
      </c>
      <c r="H54" s="750"/>
      <c r="I54" s="751">
        <f t="shared" si="97"/>
        <v>0</v>
      </c>
      <c r="J54" s="751">
        <f t="shared" si="97"/>
        <v>8847</v>
      </c>
      <c r="K54" s="751">
        <f t="shared" si="97"/>
        <v>4423.5</v>
      </c>
      <c r="L54" s="751">
        <f t="shared" si="97"/>
        <v>0</v>
      </c>
      <c r="M54" s="751">
        <f t="shared" si="97"/>
        <v>0</v>
      </c>
      <c r="N54" s="752"/>
      <c r="O54" s="749">
        <f t="shared" ref="O54:P54" si="98">SUM(O41:O53)</f>
        <v>0</v>
      </c>
      <c r="P54" s="750">
        <f t="shared" si="98"/>
        <v>0</v>
      </c>
      <c r="Q54" s="750"/>
      <c r="R54" s="750">
        <f t="shared" ref="R54:V54" si="99">SUM(R41:R53)</f>
        <v>0</v>
      </c>
      <c r="S54" s="751">
        <f t="shared" si="99"/>
        <v>0</v>
      </c>
      <c r="T54" s="751">
        <f t="shared" si="99"/>
        <v>0</v>
      </c>
      <c r="U54" s="751">
        <f t="shared" si="99"/>
        <v>0</v>
      </c>
      <c r="V54" s="751">
        <f t="shared" si="99"/>
        <v>0</v>
      </c>
      <c r="W54" s="752"/>
      <c r="X54" s="753">
        <f t="shared" ref="X54:Y54" si="100">SUM(X41:X53)</f>
        <v>0</v>
      </c>
      <c r="Y54" s="751">
        <f t="shared" si="100"/>
        <v>0</v>
      </c>
      <c r="Z54" s="751"/>
      <c r="AA54" s="751">
        <f t="shared" ref="AA54:AE54" si="101">SUM(AA41:AA53)</f>
        <v>0</v>
      </c>
      <c r="AB54" s="751">
        <f t="shared" si="101"/>
        <v>0</v>
      </c>
      <c r="AC54" s="751">
        <f t="shared" si="101"/>
        <v>0</v>
      </c>
      <c r="AD54" s="751">
        <f t="shared" si="101"/>
        <v>0</v>
      </c>
      <c r="AE54" s="751">
        <f t="shared" si="101"/>
        <v>0</v>
      </c>
      <c r="AF54" s="752"/>
    </row>
    <row r="55" spans="1:32">
      <c r="B55" s="720"/>
      <c r="F55" s="738"/>
      <c r="G55" s="738"/>
      <c r="H55" s="738"/>
      <c r="I55" s="738"/>
      <c r="J55" s="738"/>
      <c r="K55" s="738"/>
      <c r="L55" s="738"/>
      <c r="M55" s="738"/>
      <c r="N55" s="738"/>
      <c r="O55" s="746"/>
      <c r="P55" s="754"/>
      <c r="Q55" s="746"/>
      <c r="R55" s="754"/>
      <c r="S55" s="754"/>
      <c r="T55" s="754"/>
      <c r="U55" s="754"/>
      <c r="V55" s="754"/>
      <c r="W55" s="754"/>
      <c r="X55" s="746"/>
      <c r="Y55" s="754"/>
    </row>
    <row r="56" spans="1:32">
      <c r="B56" s="720"/>
    </row>
    <row r="57" spans="1:32">
      <c r="A57" s="755" t="s">
        <v>258</v>
      </c>
      <c r="B57" s="720" t="s">
        <v>776</v>
      </c>
    </row>
    <row r="58" spans="1:32">
      <c r="A58" s="755" t="s">
        <v>260</v>
      </c>
      <c r="B58" s="720" t="s">
        <v>777</v>
      </c>
      <c r="D58" s="756"/>
      <c r="E58" s="756"/>
      <c r="F58" s="756"/>
      <c r="G58" s="756"/>
      <c r="H58" s="756"/>
      <c r="I58" s="756"/>
      <c r="J58" s="756"/>
      <c r="K58" s="756"/>
      <c r="L58" s="756"/>
      <c r="M58" s="756"/>
      <c r="N58" s="756"/>
    </row>
    <row r="59" spans="1:32">
      <c r="A59" s="757" t="s">
        <v>203</v>
      </c>
      <c r="B59" s="720" t="s">
        <v>778</v>
      </c>
      <c r="D59" s="756"/>
      <c r="E59" s="756"/>
      <c r="F59" s="756"/>
      <c r="G59" s="756"/>
      <c r="H59" s="756"/>
      <c r="I59" s="756"/>
      <c r="J59" s="756"/>
      <c r="K59" s="756"/>
      <c r="L59" s="756"/>
      <c r="M59" s="756"/>
      <c r="N59" s="756"/>
    </row>
    <row r="60" spans="1:32">
      <c r="A60" s="757" t="s">
        <v>205</v>
      </c>
      <c r="B60" s="720" t="s">
        <v>843</v>
      </c>
      <c r="D60" s="756"/>
      <c r="E60" s="756"/>
      <c r="F60" s="756"/>
      <c r="G60" s="756"/>
      <c r="H60" s="756"/>
      <c r="I60" s="756"/>
      <c r="J60" s="756"/>
      <c r="K60" s="756"/>
      <c r="L60" s="756"/>
      <c r="M60" s="756"/>
      <c r="N60" s="756"/>
    </row>
    <row r="61" spans="1:32">
      <c r="A61" s="757" t="s">
        <v>207</v>
      </c>
      <c r="B61" s="724" t="s">
        <v>844</v>
      </c>
      <c r="D61" s="719"/>
      <c r="E61" s="719"/>
    </row>
    <row r="62" spans="1:32">
      <c r="D62" s="738"/>
      <c r="E62" s="738"/>
    </row>
    <row r="63" spans="1:32">
      <c r="D63" s="738"/>
      <c r="E63" s="738"/>
    </row>
    <row r="64" spans="1:32">
      <c r="D64" s="738"/>
      <c r="E64" s="738"/>
    </row>
    <row r="65" spans="2:24">
      <c r="D65" s="738"/>
      <c r="E65" s="738"/>
    </row>
    <row r="66" spans="2:24">
      <c r="D66" s="738"/>
      <c r="E66" s="738"/>
      <c r="O66" s="738"/>
      <c r="P66" s="738"/>
      <c r="Q66" s="738"/>
      <c r="R66" s="738"/>
      <c r="S66" s="738"/>
      <c r="T66" s="738"/>
      <c r="U66" s="738"/>
      <c r="V66" s="738"/>
      <c r="W66" s="738"/>
      <c r="X66" s="738"/>
    </row>
    <row r="67" spans="2:24">
      <c r="D67" s="738"/>
      <c r="E67" s="738"/>
    </row>
    <row r="68" spans="2:24">
      <c r="D68" s="738"/>
      <c r="E68" s="738"/>
    </row>
    <row r="69" spans="2:24">
      <c r="D69" s="738"/>
      <c r="E69" s="738"/>
    </row>
    <row r="70" spans="2:24">
      <c r="D70" s="738"/>
      <c r="E70" s="738"/>
    </row>
    <row r="71" spans="2:24">
      <c r="D71" s="738"/>
      <c r="E71" s="738"/>
    </row>
    <row r="72" spans="2:24">
      <c r="B72" s="720"/>
      <c r="D72" s="738"/>
      <c r="E72" s="738"/>
    </row>
    <row r="73" spans="2:24">
      <c r="D73" s="738"/>
      <c r="E73" s="738"/>
    </row>
    <row r="74" spans="2:24">
      <c r="B74" s="720"/>
      <c r="D74" s="738"/>
      <c r="E74" s="738"/>
    </row>
  </sheetData>
  <mergeCells count="6">
    <mergeCell ref="X5:AF5"/>
    <mergeCell ref="A1:N1"/>
    <mergeCell ref="A2:N2"/>
    <mergeCell ref="A3:N3"/>
    <mergeCell ref="F5:N5"/>
    <mergeCell ref="O5:W5"/>
  </mergeCells>
  <pageMargins left="0.7" right="0.7" top="0.75" bottom="0.75" header="0.3" footer="0.3"/>
  <pageSetup scale="54" fitToWidth="2" orientation="landscape" r:id="rId1"/>
  <colBreaks count="1" manualBreakCount="1">
    <brk id="14" max="60" man="1"/>
  </colBreaks>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92200-B8ED-42B5-A90D-DFC5270FEFE5}">
  <sheetPr>
    <pageSetUpPr fitToPage="1"/>
  </sheetPr>
  <dimension ref="A2:Q72"/>
  <sheetViews>
    <sheetView view="pageBreakPreview" zoomScale="90" zoomScaleNormal="100" zoomScaleSheetLayoutView="90" workbookViewId="0">
      <selection sqref="A1:E1"/>
    </sheetView>
  </sheetViews>
  <sheetFormatPr defaultRowHeight="15.75"/>
  <cols>
    <col min="1" max="1" width="6.44140625" style="97" customWidth="1"/>
    <col min="2" max="2" width="2.77734375" style="97" customWidth="1"/>
    <col min="3" max="3" width="14" style="2" customWidth="1"/>
    <col min="4" max="4" width="50.77734375" style="2" customWidth="1"/>
    <col min="5" max="5" width="8.77734375" style="2" bestFit="1" customWidth="1"/>
    <col min="6" max="6" width="25" style="2" customWidth="1"/>
  </cols>
  <sheetData>
    <row r="2" spans="1:17">
      <c r="C2" s="1090" t="s">
        <v>845</v>
      </c>
      <c r="D2" s="1090"/>
      <c r="E2" s="1090"/>
      <c r="F2" s="1090"/>
    </row>
    <row r="3" spans="1:17">
      <c r="C3" s="1013" t="str">
        <f>+'Appendix III'!E7</f>
        <v>GridLiance West LLC (GLW)</v>
      </c>
      <c r="D3" s="1013"/>
      <c r="E3" s="1013"/>
      <c r="F3" s="1013"/>
      <c r="G3" s="758"/>
      <c r="I3" s="758"/>
      <c r="J3" s="758"/>
      <c r="K3" s="758"/>
      <c r="L3" s="758"/>
      <c r="M3" s="758"/>
      <c r="N3" s="758"/>
      <c r="O3" s="758"/>
      <c r="P3" s="758"/>
      <c r="Q3" s="758"/>
    </row>
    <row r="4" spans="1:17">
      <c r="G4" s="758"/>
      <c r="H4" s="758"/>
      <c r="I4" s="758"/>
      <c r="J4" s="758"/>
      <c r="K4" s="758"/>
      <c r="L4" s="758"/>
      <c r="M4" s="758"/>
      <c r="N4" s="758"/>
      <c r="O4" s="758"/>
      <c r="P4" s="758"/>
      <c r="Q4" s="758"/>
    </row>
    <row r="5" spans="1:17">
      <c r="G5" s="758"/>
      <c r="H5" s="758"/>
      <c r="I5" s="758"/>
      <c r="J5" s="758"/>
      <c r="K5" s="758"/>
      <c r="L5" s="758"/>
      <c r="M5" s="758"/>
      <c r="N5" s="758"/>
      <c r="O5" s="758"/>
      <c r="P5" s="758"/>
      <c r="Q5" s="758"/>
    </row>
    <row r="6" spans="1:17">
      <c r="A6" s="759" t="s">
        <v>846</v>
      </c>
      <c r="C6" s="760" t="s">
        <v>847</v>
      </c>
      <c r="F6" s="760" t="s">
        <v>848</v>
      </c>
      <c r="G6" s="761"/>
      <c r="H6" s="758"/>
      <c r="I6" s="758"/>
      <c r="J6" s="758"/>
      <c r="K6" s="758"/>
      <c r="L6" s="758"/>
      <c r="M6" s="758"/>
      <c r="N6" s="758"/>
      <c r="O6" s="758"/>
      <c r="P6" s="758"/>
      <c r="Q6" s="758"/>
    </row>
    <row r="7" spans="1:17">
      <c r="A7" s="762"/>
      <c r="C7" s="762"/>
      <c r="F7" s="762"/>
      <c r="G7" s="758"/>
      <c r="H7" s="758"/>
      <c r="I7" s="758"/>
      <c r="J7" s="758"/>
      <c r="K7" s="758"/>
      <c r="L7" s="758"/>
      <c r="M7" s="758"/>
      <c r="N7" s="758"/>
      <c r="O7" s="758"/>
      <c r="P7" s="758"/>
      <c r="Q7" s="758"/>
    </row>
    <row r="8" spans="1:17">
      <c r="A8" s="759" t="s">
        <v>849</v>
      </c>
      <c r="C8" s="763"/>
      <c r="F8" s="764"/>
      <c r="G8" s="758"/>
      <c r="H8" s="758"/>
      <c r="I8" s="758"/>
      <c r="J8" s="758"/>
      <c r="K8" s="758"/>
      <c r="L8" s="765"/>
      <c r="M8" s="758"/>
      <c r="N8" s="758"/>
      <c r="O8" s="758"/>
      <c r="P8" s="758"/>
      <c r="Q8" s="758"/>
    </row>
    <row r="9" spans="1:17">
      <c r="A9" s="766">
        <v>350</v>
      </c>
      <c r="C9" s="763" t="s">
        <v>850</v>
      </c>
      <c r="F9" s="767" t="s">
        <v>176</v>
      </c>
      <c r="G9" s="758"/>
      <c r="H9" s="758"/>
      <c r="I9" s="758"/>
      <c r="J9" s="758"/>
      <c r="K9" s="758"/>
      <c r="L9" s="768"/>
      <c r="M9" s="758"/>
      <c r="N9" s="758"/>
      <c r="O9" s="758"/>
      <c r="P9" s="758"/>
      <c r="Q9" s="758"/>
    </row>
    <row r="10" spans="1:17">
      <c r="A10" s="766">
        <v>352</v>
      </c>
      <c r="C10" s="763" t="s">
        <v>851</v>
      </c>
      <c r="F10" s="767">
        <v>1.5396999999999999E-2</v>
      </c>
      <c r="G10" s="769"/>
      <c r="H10" s="758"/>
      <c r="I10" s="758"/>
      <c r="J10" s="758"/>
      <c r="K10" s="758"/>
      <c r="L10" s="768"/>
      <c r="M10" s="758"/>
      <c r="N10" s="758"/>
      <c r="O10" s="758"/>
      <c r="P10" s="758"/>
      <c r="Q10" s="758"/>
    </row>
    <row r="11" spans="1:17">
      <c r="A11" s="766">
        <v>353</v>
      </c>
      <c r="C11" s="763" t="s">
        <v>852</v>
      </c>
      <c r="F11" s="770">
        <v>2.0285000000000001E-2</v>
      </c>
      <c r="G11" s="769"/>
      <c r="H11" s="758"/>
      <c r="I11" s="758"/>
      <c r="J11" s="758"/>
      <c r="K11" s="758"/>
      <c r="L11" s="768"/>
      <c r="M11" s="758"/>
      <c r="N11" s="758"/>
      <c r="O11" s="758"/>
      <c r="P11" s="758"/>
      <c r="Q11" s="758"/>
    </row>
    <row r="12" spans="1:17">
      <c r="A12" s="766">
        <v>354</v>
      </c>
      <c r="C12" s="763" t="s">
        <v>853</v>
      </c>
      <c r="F12" s="770">
        <v>1.8846999999999999E-2</v>
      </c>
      <c r="G12" s="769"/>
      <c r="H12" s="771">
        <v>0.02</v>
      </c>
      <c r="I12" s="758" t="s">
        <v>854</v>
      </c>
      <c r="J12" s="758"/>
      <c r="K12" s="758"/>
      <c r="L12" s="768"/>
      <c r="M12" s="758"/>
      <c r="N12" s="758"/>
      <c r="O12" s="758"/>
      <c r="P12" s="758"/>
      <c r="Q12" s="758"/>
    </row>
    <row r="13" spans="1:17">
      <c r="A13" s="766">
        <v>355</v>
      </c>
      <c r="C13" s="763" t="s">
        <v>855</v>
      </c>
      <c r="F13" s="770">
        <v>2.1496000000000001E-2</v>
      </c>
      <c r="G13" s="769"/>
      <c r="H13" s="771">
        <v>2.7799999999999998E-2</v>
      </c>
      <c r="I13" s="758" t="s">
        <v>856</v>
      </c>
      <c r="J13" s="758"/>
      <c r="K13" s="758"/>
      <c r="L13" s="768"/>
      <c r="M13" s="758"/>
      <c r="N13" s="758"/>
      <c r="O13" s="758"/>
      <c r="P13" s="758"/>
      <c r="Q13" s="758"/>
    </row>
    <row r="14" spans="1:17">
      <c r="A14" s="766">
        <v>356</v>
      </c>
      <c r="C14" s="763" t="s">
        <v>857</v>
      </c>
      <c r="F14" s="767">
        <v>2.0972999999999999E-2</v>
      </c>
      <c r="G14" s="769"/>
      <c r="H14" s="758"/>
      <c r="I14" s="758"/>
      <c r="J14" s="758"/>
      <c r="K14" s="758"/>
      <c r="L14" s="768"/>
      <c r="M14" s="758"/>
      <c r="N14" s="758"/>
      <c r="O14" s="758"/>
      <c r="P14" s="758"/>
      <c r="Q14" s="758"/>
    </row>
    <row r="15" spans="1:17">
      <c r="A15" s="766">
        <v>357</v>
      </c>
      <c r="C15" s="763" t="s">
        <v>858</v>
      </c>
      <c r="F15" s="767">
        <v>1.3665E-2</v>
      </c>
      <c r="G15" s="769"/>
      <c r="H15" s="758"/>
      <c r="I15" s="758"/>
      <c r="J15" s="758"/>
      <c r="K15" s="758"/>
      <c r="L15" s="768"/>
      <c r="M15" s="758"/>
      <c r="N15" s="758"/>
      <c r="O15" s="758"/>
      <c r="P15" s="758"/>
      <c r="Q15" s="758"/>
    </row>
    <row r="16" spans="1:17">
      <c r="A16" s="766">
        <v>358</v>
      </c>
      <c r="C16" s="763" t="s">
        <v>859</v>
      </c>
      <c r="F16" s="767">
        <v>1.8415999999999998E-2</v>
      </c>
      <c r="G16" s="769"/>
      <c r="H16" s="758"/>
      <c r="I16" s="758"/>
      <c r="J16" s="758"/>
      <c r="K16" s="758"/>
      <c r="L16" s="768"/>
      <c r="M16" s="758"/>
      <c r="N16" s="758"/>
      <c r="O16" s="758"/>
      <c r="P16" s="758"/>
      <c r="Q16" s="758"/>
    </row>
    <row r="17" spans="1:17">
      <c r="A17" s="766">
        <v>359</v>
      </c>
      <c r="C17" s="763" t="s">
        <v>860</v>
      </c>
      <c r="F17" s="767">
        <v>1.4256E-2</v>
      </c>
      <c r="G17" s="769"/>
      <c r="H17" s="758"/>
      <c r="I17" s="758"/>
      <c r="J17" s="758"/>
      <c r="K17" s="758"/>
      <c r="L17" s="768"/>
      <c r="M17" s="758"/>
      <c r="N17" s="758"/>
      <c r="O17" s="758"/>
      <c r="P17" s="758"/>
      <c r="Q17" s="758"/>
    </row>
    <row r="18" spans="1:17">
      <c r="A18" s="766"/>
      <c r="C18" s="763"/>
      <c r="F18" s="767"/>
      <c r="G18" s="769"/>
      <c r="H18" s="758"/>
      <c r="I18" s="758"/>
      <c r="J18" s="758"/>
      <c r="K18" s="758"/>
      <c r="L18" s="758"/>
      <c r="M18" s="758"/>
      <c r="N18" s="758"/>
      <c r="O18" s="758"/>
      <c r="P18" s="758"/>
      <c r="Q18" s="758"/>
    </row>
    <row r="19" spans="1:17">
      <c r="A19" s="772" t="s">
        <v>861</v>
      </c>
      <c r="C19" s="763"/>
      <c r="F19" s="773"/>
      <c r="G19" s="769"/>
      <c r="H19" s="758"/>
      <c r="I19" s="758"/>
      <c r="J19" s="758"/>
      <c r="K19" s="758"/>
      <c r="L19" s="758"/>
      <c r="M19" s="758"/>
      <c r="N19" s="758"/>
      <c r="O19" s="758"/>
      <c r="P19" s="758"/>
      <c r="Q19" s="758"/>
    </row>
    <row r="20" spans="1:17">
      <c r="A20" s="766">
        <v>302</v>
      </c>
      <c r="C20" s="763" t="s">
        <v>862</v>
      </c>
      <c r="F20" s="767" t="s">
        <v>176</v>
      </c>
      <c r="G20" s="769"/>
      <c r="H20" s="758"/>
      <c r="I20" s="758"/>
      <c r="J20" s="758"/>
      <c r="K20" s="758"/>
      <c r="L20" s="758"/>
      <c r="M20" s="758"/>
      <c r="N20" s="758"/>
      <c r="O20" s="758"/>
      <c r="P20" s="758"/>
      <c r="Q20" s="758"/>
    </row>
    <row r="21" spans="1:17">
      <c r="A21" s="766">
        <v>303</v>
      </c>
      <c r="C21" s="763" t="s">
        <v>863</v>
      </c>
      <c r="F21" s="767">
        <v>0.2</v>
      </c>
      <c r="G21" s="769"/>
      <c r="H21" s="758"/>
      <c r="I21" s="758"/>
      <c r="J21" s="758"/>
      <c r="K21" s="758"/>
      <c r="L21" s="758"/>
      <c r="M21" s="758"/>
      <c r="N21" s="758"/>
      <c r="O21" s="758"/>
      <c r="P21" s="758"/>
      <c r="Q21" s="758"/>
    </row>
    <row r="22" spans="1:17">
      <c r="A22" s="766">
        <v>390</v>
      </c>
      <c r="C22" s="774" t="s">
        <v>851</v>
      </c>
      <c r="F22" s="767">
        <v>2.1194000000000001E-2</v>
      </c>
      <c r="G22" s="769"/>
      <c r="H22" s="758"/>
      <c r="I22" s="758"/>
      <c r="J22" s="758"/>
      <c r="K22" s="758"/>
      <c r="L22" s="758"/>
      <c r="M22" s="758"/>
      <c r="N22" s="758"/>
      <c r="O22" s="758"/>
      <c r="P22" s="758"/>
      <c r="Q22" s="758"/>
    </row>
    <row r="23" spans="1:17">
      <c r="A23" s="766">
        <v>391</v>
      </c>
      <c r="C23" s="774" t="s">
        <v>864</v>
      </c>
      <c r="F23" s="767">
        <v>5.0671000000000001E-2</v>
      </c>
      <c r="G23" s="769"/>
    </row>
    <row r="24" spans="1:17">
      <c r="A24" s="766">
        <v>391</v>
      </c>
      <c r="C24" s="774" t="s">
        <v>865</v>
      </c>
      <c r="F24" s="767">
        <v>0.25</v>
      </c>
      <c r="G24" s="769"/>
    </row>
    <row r="25" spans="1:17">
      <c r="A25" s="766">
        <v>392</v>
      </c>
      <c r="C25" s="774" t="s">
        <v>866</v>
      </c>
      <c r="F25" s="767">
        <v>0.109667</v>
      </c>
      <c r="G25" s="769"/>
    </row>
    <row r="26" spans="1:17">
      <c r="A26" s="766">
        <v>392</v>
      </c>
      <c r="C26" s="774" t="s">
        <v>867</v>
      </c>
      <c r="F26" s="767">
        <v>8.4139000000000005E-2</v>
      </c>
      <c r="G26" s="769"/>
    </row>
    <row r="27" spans="1:17">
      <c r="A27" s="766">
        <v>392</v>
      </c>
      <c r="C27" s="774" t="s">
        <v>868</v>
      </c>
      <c r="F27" s="767">
        <v>6.9486000000000006E-2</v>
      </c>
      <c r="G27" s="769"/>
    </row>
    <row r="28" spans="1:17">
      <c r="A28" s="766">
        <v>392</v>
      </c>
      <c r="C28" s="774" t="s">
        <v>869</v>
      </c>
      <c r="F28" s="767">
        <v>7.2363999999999998E-2</v>
      </c>
      <c r="G28" s="769"/>
    </row>
    <row r="29" spans="1:17">
      <c r="A29" s="766">
        <v>393</v>
      </c>
      <c r="C29" s="774" t="s">
        <v>870</v>
      </c>
      <c r="F29" s="767">
        <v>0.05</v>
      </c>
      <c r="G29" s="769"/>
    </row>
    <row r="30" spans="1:17">
      <c r="A30" s="766">
        <v>394</v>
      </c>
      <c r="C30" s="774" t="s">
        <v>871</v>
      </c>
      <c r="F30" s="767">
        <v>6.6671999999999995E-2</v>
      </c>
      <c r="G30" s="769"/>
    </row>
    <row r="31" spans="1:17">
      <c r="A31" s="766">
        <v>395</v>
      </c>
      <c r="C31" s="774" t="s">
        <v>872</v>
      </c>
      <c r="F31" s="767">
        <v>0.1</v>
      </c>
      <c r="G31" s="769"/>
    </row>
    <row r="32" spans="1:17">
      <c r="A32" s="766">
        <v>396</v>
      </c>
      <c r="C32" s="774" t="s">
        <v>873</v>
      </c>
      <c r="F32" s="767">
        <v>8.4139000000000005E-2</v>
      </c>
      <c r="G32" s="769"/>
    </row>
    <row r="33" spans="1:7">
      <c r="A33" s="766">
        <v>397</v>
      </c>
      <c r="C33" s="763" t="s">
        <v>874</v>
      </c>
      <c r="F33" s="767">
        <v>0.11111</v>
      </c>
      <c r="G33" s="769"/>
    </row>
    <row r="34" spans="1:7">
      <c r="A34" s="766">
        <v>398</v>
      </c>
      <c r="C34" s="774" t="s">
        <v>875</v>
      </c>
      <c r="F34" s="767">
        <v>6.6671999999999995E-2</v>
      </c>
      <c r="G34" s="769"/>
    </row>
    <row r="35" spans="1:7" ht="15" customHeight="1">
      <c r="A35" s="763"/>
      <c r="B35" s="763"/>
      <c r="C35" s="775" t="s">
        <v>876</v>
      </c>
      <c r="F35" s="776" t="s">
        <v>877</v>
      </c>
    </row>
    <row r="36" spans="1:7" ht="15" customHeight="1">
      <c r="A36" s="1091" t="s">
        <v>878</v>
      </c>
      <c r="B36" s="1091"/>
      <c r="C36" s="1091"/>
      <c r="D36" s="1091"/>
      <c r="E36" s="1091"/>
      <c r="F36" s="1091"/>
    </row>
    <row r="37" spans="1:7" ht="15" customHeight="1">
      <c r="A37" s="1091"/>
      <c r="B37" s="1091"/>
      <c r="C37" s="1091"/>
      <c r="D37" s="1091"/>
      <c r="E37" s="1091"/>
      <c r="F37" s="1091"/>
    </row>
    <row r="38" spans="1:7" ht="15.75" customHeight="1">
      <c r="A38" s="1091"/>
      <c r="B38" s="1091"/>
      <c r="C38" s="1091"/>
      <c r="D38" s="1091"/>
      <c r="E38" s="1091"/>
      <c r="F38" s="1091"/>
    </row>
    <row r="39" spans="1:7" ht="39.200000000000003" customHeight="1">
      <c r="A39" s="1091"/>
      <c r="B39" s="1091"/>
      <c r="C39" s="1091"/>
      <c r="D39" s="1091"/>
      <c r="E39" s="1091"/>
      <c r="F39" s="1091"/>
    </row>
    <row r="40" spans="1:7">
      <c r="A40" s="778" t="s">
        <v>879</v>
      </c>
      <c r="F40" s="777"/>
    </row>
    <row r="41" spans="1:7">
      <c r="A41" s="778" t="s">
        <v>880</v>
      </c>
    </row>
    <row r="42" spans="1:7">
      <c r="A42" s="174"/>
    </row>
    <row r="43" spans="1:7" s="2" customFormat="1">
      <c r="A43" s="97"/>
      <c r="B43" s="97"/>
    </row>
    <row r="44" spans="1:7" s="2" customFormat="1">
      <c r="A44" s="97"/>
      <c r="B44" s="97"/>
    </row>
    <row r="45" spans="1:7" s="2" customFormat="1">
      <c r="A45" s="97"/>
      <c r="B45" s="97"/>
    </row>
    <row r="46" spans="1:7" s="2" customFormat="1">
      <c r="A46" s="97"/>
      <c r="B46" s="97"/>
    </row>
    <row r="47" spans="1:7" s="2" customFormat="1">
      <c r="A47" s="97"/>
      <c r="B47" s="97"/>
    </row>
    <row r="48" spans="1:7" s="2" customFormat="1">
      <c r="A48" s="97"/>
      <c r="B48" s="97"/>
    </row>
    <row r="49" spans="1:2" s="2" customFormat="1">
      <c r="A49" s="97"/>
      <c r="B49" s="97"/>
    </row>
    <row r="50" spans="1:2" s="2" customFormat="1">
      <c r="A50" s="97"/>
      <c r="B50" s="97"/>
    </row>
    <row r="51" spans="1:2" s="2" customFormat="1">
      <c r="A51" s="97"/>
      <c r="B51" s="97"/>
    </row>
    <row r="52" spans="1:2" s="2" customFormat="1">
      <c r="A52" s="97"/>
      <c r="B52" s="97"/>
    </row>
    <row r="53" spans="1:2" s="2" customFormat="1">
      <c r="A53" s="97"/>
      <c r="B53" s="97"/>
    </row>
    <row r="54" spans="1:2" s="2" customFormat="1">
      <c r="A54" s="97"/>
      <c r="B54" s="97"/>
    </row>
    <row r="55" spans="1:2" s="2" customFormat="1">
      <c r="A55" s="97"/>
      <c r="B55" s="97"/>
    </row>
    <row r="56" spans="1:2" s="2" customFormat="1">
      <c r="A56" s="97"/>
      <c r="B56" s="97"/>
    </row>
    <row r="57" spans="1:2" s="2" customFormat="1">
      <c r="A57" s="97"/>
      <c r="B57" s="97"/>
    </row>
    <row r="58" spans="1:2" s="2" customFormat="1">
      <c r="A58" s="97"/>
      <c r="B58" s="97"/>
    </row>
    <row r="59" spans="1:2" s="2" customFormat="1">
      <c r="A59" s="97"/>
      <c r="B59" s="97"/>
    </row>
    <row r="60" spans="1:2" s="2" customFormat="1">
      <c r="A60" s="97"/>
      <c r="B60" s="97"/>
    </row>
    <row r="61" spans="1:2" s="2" customFormat="1">
      <c r="A61" s="97"/>
      <c r="B61" s="97"/>
    </row>
    <row r="62" spans="1:2" s="2" customFormat="1">
      <c r="A62" s="97"/>
      <c r="B62" s="97"/>
    </row>
    <row r="63" spans="1:2" s="2" customFormat="1">
      <c r="A63" s="97"/>
      <c r="B63" s="97"/>
    </row>
    <row r="64" spans="1:2" s="2" customFormat="1">
      <c r="A64" s="97"/>
      <c r="B64" s="97"/>
    </row>
    <row r="65" spans="1:2" s="2" customFormat="1">
      <c r="A65" s="97"/>
      <c r="B65" s="97"/>
    </row>
    <row r="66" spans="1:2" s="2" customFormat="1">
      <c r="A66" s="97"/>
      <c r="B66" s="97"/>
    </row>
    <row r="67" spans="1:2" s="2" customFormat="1">
      <c r="A67" s="97"/>
      <c r="B67" s="97"/>
    </row>
    <row r="68" spans="1:2" s="2" customFormat="1">
      <c r="A68" s="97"/>
      <c r="B68" s="97"/>
    </row>
    <row r="69" spans="1:2" s="2" customFormat="1">
      <c r="A69" s="97"/>
      <c r="B69" s="97"/>
    </row>
    <row r="70" spans="1:2" s="2" customFormat="1">
      <c r="A70" s="97"/>
      <c r="B70" s="97"/>
    </row>
    <row r="71" spans="1:2" s="2" customFormat="1">
      <c r="A71" s="97"/>
      <c r="B71" s="97"/>
    </row>
    <row r="72" spans="1:2" s="2" customFormat="1">
      <c r="A72" s="97"/>
      <c r="B72" s="97"/>
    </row>
  </sheetData>
  <mergeCells count="3">
    <mergeCell ref="C2:F2"/>
    <mergeCell ref="C3:F3"/>
    <mergeCell ref="A36:F39"/>
  </mergeCells>
  <pageMargins left="0.7" right="0.7" top="0.75" bottom="0.75" header="0.3" footer="0.3"/>
  <pageSetup scale="76" orientation="landscape" r:id="rId1"/>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69299-7FFD-4E1E-B5AF-DE5D5C9F3F02}">
  <sheetPr>
    <pageSetUpPr fitToPage="1"/>
  </sheetPr>
  <dimension ref="A1:R29"/>
  <sheetViews>
    <sheetView view="pageBreakPreview" zoomScale="90" zoomScaleNormal="100" zoomScaleSheetLayoutView="90" workbookViewId="0">
      <selection sqref="A1:E1"/>
    </sheetView>
  </sheetViews>
  <sheetFormatPr defaultColWidth="7" defaultRowHeight="15.75"/>
  <cols>
    <col min="1" max="1" width="3.77734375" style="779" customWidth="1"/>
    <col min="2" max="2" width="9.44140625" style="780" customWidth="1"/>
    <col min="3" max="3" width="25" style="780" customWidth="1"/>
    <col min="4" max="4" width="34" style="780" customWidth="1"/>
    <col min="5" max="5" width="8.44140625" style="781" customWidth="1"/>
    <col min="6" max="6" width="7.44140625" style="780" customWidth="1"/>
    <col min="7" max="18" width="7.44140625" style="781" customWidth="1"/>
    <col min="19" max="16384" width="7" style="783"/>
  </cols>
  <sheetData>
    <row r="1" spans="1:18" customFormat="1">
      <c r="A1" s="1090" t="s">
        <v>881</v>
      </c>
      <c r="B1" s="1090"/>
      <c r="C1" s="1090"/>
      <c r="D1" s="1090"/>
      <c r="E1" s="1090"/>
      <c r="F1" s="1090" t="s">
        <v>881</v>
      </c>
      <c r="G1" s="1090"/>
      <c r="H1" s="1090"/>
      <c r="I1" s="1090"/>
      <c r="J1" s="1090"/>
      <c r="K1" s="1090"/>
      <c r="L1" s="1090"/>
      <c r="M1" s="1090"/>
      <c r="N1" s="1090"/>
      <c r="O1" s="1090"/>
      <c r="P1" s="1090"/>
      <c r="Q1" s="1090"/>
      <c r="R1" s="1090"/>
    </row>
    <row r="2" spans="1:18" customFormat="1">
      <c r="A2" s="1013" t="str">
        <f>+'7- Depreciation Rates'!C3</f>
        <v>GridLiance West LLC (GLW)</v>
      </c>
      <c r="B2" s="1013"/>
      <c r="C2" s="1013"/>
      <c r="D2" s="1013"/>
      <c r="E2" s="1013"/>
      <c r="F2" s="1013" t="str">
        <f>+A2</f>
        <v>GridLiance West LLC (GLW)</v>
      </c>
      <c r="G2" s="1013"/>
      <c r="H2" s="1013"/>
      <c r="I2" s="1013"/>
      <c r="J2" s="1013"/>
      <c r="K2" s="1013"/>
      <c r="L2" s="1013"/>
      <c r="M2" s="1013"/>
      <c r="N2" s="1013"/>
      <c r="O2" s="1013"/>
      <c r="P2" s="1013"/>
      <c r="Q2" s="1013"/>
      <c r="R2" s="1013"/>
    </row>
    <row r="3" spans="1:18">
      <c r="H3" s="782"/>
    </row>
    <row r="4" spans="1:18" s="788" customFormat="1">
      <c r="A4" s="784"/>
      <c r="B4" s="785" t="s">
        <v>188</v>
      </c>
      <c r="C4" s="786" t="s">
        <v>523</v>
      </c>
      <c r="D4" s="787" t="s">
        <v>882</v>
      </c>
      <c r="E4" s="787" t="s">
        <v>525</v>
      </c>
      <c r="F4" s="787" t="s">
        <v>883</v>
      </c>
      <c r="G4" s="787" t="s">
        <v>527</v>
      </c>
      <c r="H4" s="787" t="s">
        <v>528</v>
      </c>
      <c r="I4" s="787" t="s">
        <v>529</v>
      </c>
      <c r="J4" s="787" t="s">
        <v>530</v>
      </c>
      <c r="K4" s="787" t="s">
        <v>531</v>
      </c>
      <c r="L4" s="787" t="s">
        <v>532</v>
      </c>
      <c r="M4" s="787" t="s">
        <v>533</v>
      </c>
      <c r="N4" s="787" t="s">
        <v>534</v>
      </c>
      <c r="O4" s="787" t="s">
        <v>535</v>
      </c>
      <c r="P4" s="787" t="s">
        <v>536</v>
      </c>
      <c r="Q4" s="786" t="s">
        <v>537</v>
      </c>
      <c r="R4" s="784" t="s">
        <v>538</v>
      </c>
    </row>
    <row r="5" spans="1:18" s="791" customFormat="1" ht="33.75" customHeight="1">
      <c r="A5" s="1093" t="s">
        <v>52</v>
      </c>
      <c r="B5" s="1093" t="s">
        <v>884</v>
      </c>
      <c r="C5" s="1094" t="s">
        <v>885</v>
      </c>
      <c r="D5" s="1094" t="s">
        <v>886</v>
      </c>
      <c r="E5" s="1093" t="s">
        <v>887</v>
      </c>
      <c r="F5" s="789" t="s">
        <v>888</v>
      </c>
      <c r="G5" s="790" t="s">
        <v>889</v>
      </c>
      <c r="H5" s="790" t="s">
        <v>890</v>
      </c>
      <c r="I5" s="790" t="s">
        <v>891</v>
      </c>
      <c r="J5" s="790" t="s">
        <v>892</v>
      </c>
      <c r="K5" s="790" t="s">
        <v>893</v>
      </c>
      <c r="L5" s="790" t="s">
        <v>894</v>
      </c>
      <c r="M5" s="790" t="s">
        <v>895</v>
      </c>
      <c r="N5" s="790" t="s">
        <v>896</v>
      </c>
      <c r="O5" s="790" t="s">
        <v>897</v>
      </c>
      <c r="P5" s="790" t="s">
        <v>898</v>
      </c>
      <c r="Q5" s="790" t="s">
        <v>899</v>
      </c>
      <c r="R5" s="790" t="s">
        <v>888</v>
      </c>
    </row>
    <row r="6" spans="1:18" s="791" customFormat="1">
      <c r="A6" s="1093"/>
      <c r="B6" s="1093"/>
      <c r="C6" s="1095"/>
      <c r="D6" s="1095"/>
      <c r="E6" s="1093"/>
      <c r="F6" s="792">
        <f>YEAR(EDATE('Appendix III'!$N$7,-12))</f>
        <v>2026</v>
      </c>
      <c r="G6" s="792">
        <f>YEAR('Appendix III'!$N$7)</f>
        <v>2027</v>
      </c>
      <c r="H6" s="792">
        <f>G6</f>
        <v>2027</v>
      </c>
      <c r="I6" s="792">
        <f t="shared" ref="I6:R6" si="0">H6</f>
        <v>2027</v>
      </c>
      <c r="J6" s="792">
        <f t="shared" si="0"/>
        <v>2027</v>
      </c>
      <c r="K6" s="792">
        <f t="shared" si="0"/>
        <v>2027</v>
      </c>
      <c r="L6" s="792">
        <f t="shared" si="0"/>
        <v>2027</v>
      </c>
      <c r="M6" s="792">
        <f t="shared" si="0"/>
        <v>2027</v>
      </c>
      <c r="N6" s="792">
        <f t="shared" si="0"/>
        <v>2027</v>
      </c>
      <c r="O6" s="792">
        <f t="shared" si="0"/>
        <v>2027</v>
      </c>
      <c r="P6" s="792">
        <f t="shared" si="0"/>
        <v>2027</v>
      </c>
      <c r="Q6" s="792">
        <f t="shared" si="0"/>
        <v>2027</v>
      </c>
      <c r="R6" s="792">
        <f t="shared" si="0"/>
        <v>2027</v>
      </c>
    </row>
    <row r="7" spans="1:18" ht="28.9" customHeight="1">
      <c r="A7" s="793" t="s">
        <v>269</v>
      </c>
      <c r="B7" s="794"/>
      <c r="C7" s="795"/>
      <c r="D7" s="795"/>
      <c r="E7" s="796">
        <f t="shared" ref="E7:E16" si="1">IFERROR(SUM(F7:R7)/13,0)</f>
        <v>0</v>
      </c>
      <c r="F7" s="795"/>
      <c r="G7" s="795"/>
      <c r="H7" s="795"/>
      <c r="I7" s="795"/>
      <c r="J7" s="795"/>
      <c r="K7" s="795"/>
      <c r="L7" s="795"/>
      <c r="M7" s="795"/>
      <c r="N7" s="795"/>
      <c r="O7" s="795"/>
      <c r="P7" s="795"/>
      <c r="Q7" s="795"/>
      <c r="R7" s="795"/>
    </row>
    <row r="8" spans="1:18" ht="28.9" customHeight="1">
      <c r="A8" s="793" t="s">
        <v>900</v>
      </c>
      <c r="B8" s="797"/>
      <c r="C8" s="798"/>
      <c r="D8" s="798"/>
      <c r="E8" s="799">
        <f t="shared" si="1"/>
        <v>0</v>
      </c>
      <c r="F8" s="798"/>
      <c r="G8" s="798"/>
      <c r="H8" s="798"/>
      <c r="I8" s="798"/>
      <c r="J8" s="798"/>
      <c r="K8" s="798"/>
      <c r="L8" s="800"/>
      <c r="M8" s="798"/>
      <c r="N8" s="798"/>
      <c r="O8" s="798"/>
      <c r="P8" s="798"/>
      <c r="Q8" s="798"/>
      <c r="R8" s="798"/>
    </row>
    <row r="9" spans="1:18" ht="28.9" customHeight="1">
      <c r="A9" s="793" t="s">
        <v>901</v>
      </c>
      <c r="B9" s="797"/>
      <c r="C9" s="798"/>
      <c r="D9" s="798"/>
      <c r="E9" s="799">
        <f t="shared" si="1"/>
        <v>0</v>
      </c>
      <c r="F9" s="798"/>
      <c r="G9" s="798"/>
      <c r="H9" s="798"/>
      <c r="I9" s="798"/>
      <c r="J9" s="798"/>
      <c r="K9" s="798"/>
      <c r="L9" s="798"/>
      <c r="M9" s="798"/>
      <c r="N9" s="798"/>
      <c r="O9" s="798"/>
      <c r="P9" s="798"/>
      <c r="Q9" s="798"/>
      <c r="R9" s="798"/>
    </row>
    <row r="10" spans="1:18" ht="28.9" customHeight="1">
      <c r="A10" s="793" t="s">
        <v>271</v>
      </c>
      <c r="B10" s="797"/>
      <c r="C10" s="798"/>
      <c r="D10" s="798"/>
      <c r="E10" s="799">
        <f t="shared" si="1"/>
        <v>0</v>
      </c>
      <c r="F10" s="798"/>
      <c r="G10" s="798"/>
      <c r="H10" s="798"/>
      <c r="I10" s="798"/>
      <c r="J10" s="798"/>
      <c r="K10" s="798"/>
      <c r="L10" s="798"/>
      <c r="M10" s="798"/>
      <c r="N10" s="798"/>
      <c r="O10" s="798"/>
      <c r="P10" s="798"/>
      <c r="Q10" s="798"/>
      <c r="R10" s="798"/>
    </row>
    <row r="11" spans="1:18" ht="28.9" customHeight="1">
      <c r="A11" s="793" t="s">
        <v>271</v>
      </c>
      <c r="B11" s="797"/>
      <c r="C11" s="798"/>
      <c r="D11" s="798"/>
      <c r="E11" s="799">
        <f t="shared" si="1"/>
        <v>0</v>
      </c>
      <c r="F11" s="798"/>
      <c r="G11" s="798"/>
      <c r="H11" s="798"/>
      <c r="I11" s="798"/>
      <c r="J11" s="798"/>
      <c r="K11" s="798"/>
      <c r="L11" s="798"/>
      <c r="M11" s="798"/>
      <c r="N11" s="798"/>
      <c r="O11" s="798"/>
      <c r="P11" s="798"/>
      <c r="Q11" s="798"/>
      <c r="R11" s="798"/>
    </row>
    <row r="12" spans="1:18" ht="28.9" customHeight="1">
      <c r="A12" s="793" t="s">
        <v>271</v>
      </c>
      <c r="B12" s="797"/>
      <c r="C12" s="798"/>
      <c r="D12" s="798"/>
      <c r="E12" s="799">
        <f t="shared" si="1"/>
        <v>0</v>
      </c>
      <c r="F12" s="798"/>
      <c r="G12" s="798"/>
      <c r="H12" s="798"/>
      <c r="I12" s="798"/>
      <c r="J12" s="798"/>
      <c r="K12" s="798"/>
      <c r="L12" s="798"/>
      <c r="M12" s="798"/>
      <c r="N12" s="798"/>
      <c r="O12" s="798"/>
      <c r="P12" s="798"/>
      <c r="Q12" s="798"/>
      <c r="R12" s="798"/>
    </row>
    <row r="13" spans="1:18" ht="28.9" customHeight="1">
      <c r="A13" s="793" t="s">
        <v>271</v>
      </c>
      <c r="B13" s="797"/>
      <c r="C13" s="798"/>
      <c r="D13" s="798"/>
      <c r="E13" s="799">
        <f t="shared" si="1"/>
        <v>0</v>
      </c>
      <c r="F13" s="798"/>
      <c r="G13" s="798"/>
      <c r="H13" s="798"/>
      <c r="I13" s="798"/>
      <c r="J13" s="798"/>
      <c r="K13" s="798"/>
      <c r="L13" s="798"/>
      <c r="M13" s="798"/>
      <c r="N13" s="798"/>
      <c r="O13" s="798"/>
      <c r="P13" s="798"/>
      <c r="Q13" s="798"/>
      <c r="R13" s="798"/>
    </row>
    <row r="14" spans="1:18" ht="28.9" customHeight="1">
      <c r="A14" s="793" t="s">
        <v>271</v>
      </c>
      <c r="B14" s="797"/>
      <c r="C14" s="798"/>
      <c r="D14" s="798"/>
      <c r="E14" s="799">
        <f t="shared" si="1"/>
        <v>0</v>
      </c>
      <c r="F14" s="798"/>
      <c r="G14" s="798"/>
      <c r="H14" s="798"/>
      <c r="I14" s="798"/>
      <c r="J14" s="798"/>
      <c r="K14" s="798"/>
      <c r="L14" s="798"/>
      <c r="M14" s="798"/>
      <c r="N14" s="798"/>
      <c r="O14" s="798"/>
      <c r="P14" s="798"/>
      <c r="Q14" s="798"/>
      <c r="R14" s="798"/>
    </row>
    <row r="15" spans="1:18" ht="28.9" customHeight="1">
      <c r="A15" s="793" t="s">
        <v>271</v>
      </c>
      <c r="B15" s="797"/>
      <c r="C15" s="798"/>
      <c r="D15" s="798"/>
      <c r="E15" s="799">
        <f t="shared" si="1"/>
        <v>0</v>
      </c>
      <c r="F15" s="798"/>
      <c r="G15" s="798"/>
      <c r="H15" s="798"/>
      <c r="I15" s="798"/>
      <c r="J15" s="798"/>
      <c r="K15" s="798"/>
      <c r="L15" s="798"/>
      <c r="M15" s="798"/>
      <c r="N15" s="798"/>
      <c r="O15" s="798"/>
      <c r="P15" s="798"/>
      <c r="Q15" s="798"/>
      <c r="R15" s="798"/>
    </row>
    <row r="16" spans="1:18" ht="28.9" customHeight="1">
      <c r="A16" s="793" t="s">
        <v>273</v>
      </c>
      <c r="B16" s="797"/>
      <c r="C16" s="798"/>
      <c r="D16" s="798"/>
      <c r="E16" s="801">
        <f t="shared" si="1"/>
        <v>0</v>
      </c>
      <c r="F16" s="798"/>
      <c r="G16" s="798"/>
      <c r="H16" s="798"/>
      <c r="I16" s="798"/>
      <c r="J16" s="798"/>
      <c r="K16" s="798"/>
      <c r="L16" s="798"/>
      <c r="M16" s="798"/>
      <c r="N16" s="798"/>
      <c r="O16" s="802"/>
      <c r="P16" s="802"/>
      <c r="Q16" s="802"/>
      <c r="R16" s="802"/>
    </row>
    <row r="17" spans="1:18">
      <c r="A17" s="779">
        <v>2</v>
      </c>
      <c r="C17" s="803"/>
      <c r="D17" s="803" t="s">
        <v>902</v>
      </c>
      <c r="E17" s="804">
        <f>SUM(E7:E16)</f>
        <v>0</v>
      </c>
      <c r="F17" s="805"/>
      <c r="G17" s="805"/>
      <c r="H17" s="805"/>
      <c r="I17" s="805"/>
      <c r="J17" s="805"/>
      <c r="K17" s="805"/>
      <c r="L17" s="805"/>
      <c r="M17" s="805"/>
      <c r="N17" s="779"/>
      <c r="O17" s="779"/>
      <c r="P17" s="779"/>
      <c r="Q17" s="779"/>
      <c r="R17" s="779"/>
    </row>
    <row r="18" spans="1:18" ht="17.45" customHeight="1">
      <c r="E18" s="805"/>
      <c r="F18" s="806" t="s">
        <v>903</v>
      </c>
      <c r="G18" s="806"/>
      <c r="H18" s="806"/>
      <c r="I18" s="806"/>
      <c r="J18" s="806"/>
      <c r="K18" s="806"/>
      <c r="L18" s="805"/>
      <c r="M18" s="805"/>
      <c r="N18" s="805"/>
      <c r="O18" s="805"/>
      <c r="P18" s="805"/>
      <c r="Q18" s="805"/>
      <c r="R18" s="805"/>
    </row>
    <row r="19" spans="1:18">
      <c r="B19" s="807"/>
      <c r="C19" s="808"/>
      <c r="D19" s="808"/>
      <c r="F19" s="808"/>
      <c r="G19" s="809" t="s">
        <v>904</v>
      </c>
    </row>
    <row r="20" spans="1:18">
      <c r="C20" s="808"/>
      <c r="D20" s="808"/>
      <c r="E20" s="779"/>
      <c r="F20" s="808"/>
      <c r="G20" s="808"/>
      <c r="R20" s="779"/>
    </row>
    <row r="21" spans="1:18" ht="12.2" customHeight="1">
      <c r="C21" s="808"/>
      <c r="D21" s="808"/>
      <c r="E21" s="779"/>
      <c r="F21" s="808"/>
      <c r="M21" s="810"/>
      <c r="R21" s="779"/>
    </row>
    <row r="22" spans="1:18" ht="12.2" customHeight="1">
      <c r="C22" s="808"/>
      <c r="D22" s="808"/>
      <c r="E22" s="779"/>
      <c r="F22" s="808"/>
      <c r="R22" s="779"/>
    </row>
    <row r="23" spans="1:18" ht="11.25" customHeight="1">
      <c r="A23" s="807"/>
      <c r="C23" s="808"/>
      <c r="D23" s="808"/>
      <c r="E23" s="779"/>
      <c r="F23" s="808"/>
      <c r="M23" s="811"/>
      <c r="R23" s="779"/>
    </row>
    <row r="24" spans="1:18" ht="11.25" customHeight="1">
      <c r="A24" s="807"/>
      <c r="B24" s="807"/>
      <c r="C24" s="1092"/>
      <c r="D24" s="1092"/>
      <c r="E24" s="779"/>
      <c r="M24" s="812"/>
      <c r="R24" s="779"/>
    </row>
    <row r="25" spans="1:18" ht="11.25" customHeight="1">
      <c r="A25" s="780"/>
      <c r="B25" s="807"/>
      <c r="E25" s="779"/>
      <c r="M25" s="812"/>
      <c r="R25" s="779"/>
    </row>
    <row r="26" spans="1:18">
      <c r="A26" s="780"/>
      <c r="E26" s="779"/>
      <c r="R26" s="779"/>
    </row>
    <row r="27" spans="1:18">
      <c r="A27" s="780"/>
      <c r="E27" s="779"/>
      <c r="R27" s="779"/>
    </row>
    <row r="28" spans="1:18">
      <c r="A28" s="780"/>
      <c r="E28" s="779"/>
      <c r="R28" s="779"/>
    </row>
    <row r="29" spans="1:18">
      <c r="A29" s="780"/>
    </row>
  </sheetData>
  <mergeCells count="10">
    <mergeCell ref="C24:D24"/>
    <mergeCell ref="A1:E1"/>
    <mergeCell ref="F1:R1"/>
    <mergeCell ref="A2:E2"/>
    <mergeCell ref="F2:R2"/>
    <mergeCell ref="A5:A6"/>
    <mergeCell ref="B5:B6"/>
    <mergeCell ref="C5:C6"/>
    <mergeCell ref="D5:D6"/>
    <mergeCell ref="E5:E6"/>
  </mergeCells>
  <pageMargins left="0.7" right="0.7" top="0.75" bottom="0.75" header="0.3" footer="0.3"/>
  <pageSetup scale="57" orientation="landscape" r:id="rId1"/>
  <colBreaks count="1" manualBreakCount="1">
    <brk id="5" max="1048575" man="1"/>
  </colBreaks>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F57B5-FB68-4516-9F98-4913F9158355}">
  <dimension ref="A1:AL84"/>
  <sheetViews>
    <sheetView view="pageBreakPreview" zoomScale="80" zoomScaleNormal="100" zoomScaleSheetLayoutView="80" workbookViewId="0">
      <selection sqref="A1:L1"/>
    </sheetView>
  </sheetViews>
  <sheetFormatPr defaultColWidth="7" defaultRowHeight="11.25"/>
  <cols>
    <col min="1" max="1" width="3" style="783" customWidth="1"/>
    <col min="2" max="2" width="2.44140625" style="783" customWidth="1"/>
    <col min="3" max="3" width="24" style="783" customWidth="1"/>
    <col min="4" max="4" width="13.109375" style="877" customWidth="1"/>
    <col min="5" max="5" width="2.109375" style="878" customWidth="1"/>
    <col min="6" max="6" width="8.109375" style="862" customWidth="1"/>
    <col min="7" max="7" width="2.109375" style="879" customWidth="1"/>
    <col min="8" max="8" width="10.109375" style="877" customWidth="1"/>
    <col min="9" max="9" width="1.77734375" style="879" customWidth="1"/>
    <col min="10" max="10" width="7" style="783" customWidth="1"/>
    <col min="11" max="11" width="2.109375" style="783" customWidth="1"/>
    <col min="12" max="12" width="12.77734375" style="877" customWidth="1"/>
    <col min="13" max="25" width="13.21875" style="783" customWidth="1"/>
    <col min="26" max="26" width="15.77734375" style="783" customWidth="1"/>
    <col min="27" max="27" width="1.44140625" style="783" customWidth="1"/>
    <col min="28" max="28" width="9.109375" style="862" customWidth="1"/>
    <col min="29" max="29" width="2" style="783" customWidth="1"/>
    <col min="30" max="30" width="14" style="783" customWidth="1"/>
    <col min="31" max="31" width="1.109375" style="783" customWidth="1"/>
    <col min="32" max="32" width="10" style="783" bestFit="1" customWidth="1"/>
    <col min="33" max="33" width="1.109375" style="783" customWidth="1"/>
    <col min="34" max="34" width="10.44140625" style="783" bestFit="1" customWidth="1"/>
    <col min="35" max="35" width="1.109375" style="783" customWidth="1"/>
    <col min="36" max="36" width="9.77734375" style="813" customWidth="1"/>
    <col min="37" max="37" width="1.109375" style="783" customWidth="1"/>
    <col min="38" max="38" width="10.44140625" style="813" bestFit="1" customWidth="1"/>
    <col min="39" max="16384" width="7" style="783"/>
  </cols>
  <sheetData>
    <row r="1" spans="1:38" ht="15.75">
      <c r="A1" s="1090" t="s">
        <v>905</v>
      </c>
      <c r="B1" s="1090"/>
      <c r="C1" s="1090"/>
      <c r="D1" s="1090"/>
      <c r="E1" s="1090"/>
      <c r="F1" s="1090"/>
      <c r="G1" s="1090"/>
      <c r="H1" s="1090"/>
      <c r="I1" s="1090"/>
      <c r="J1" s="1090"/>
      <c r="K1" s="1090"/>
      <c r="L1" s="1090"/>
      <c r="M1" s="1090" t="s">
        <v>905</v>
      </c>
      <c r="N1" s="1090"/>
      <c r="O1" s="1090"/>
      <c r="P1" s="1090"/>
      <c r="Q1" s="1090"/>
      <c r="R1" s="1090"/>
      <c r="S1" s="1090"/>
      <c r="T1" s="1090"/>
      <c r="U1" s="1090"/>
      <c r="V1" s="1090"/>
      <c r="W1" s="1090"/>
      <c r="X1" s="1090"/>
      <c r="Y1" s="1090"/>
      <c r="Z1" s="1090" t="s">
        <v>905</v>
      </c>
      <c r="AA1" s="1090"/>
      <c r="AB1" s="1090"/>
      <c r="AC1" s="1090"/>
      <c r="AD1" s="1090"/>
      <c r="AE1" s="1090"/>
      <c r="AF1" s="1090"/>
      <c r="AG1" s="1090"/>
      <c r="AH1" s="1090"/>
      <c r="AI1" s="1090"/>
      <c r="AJ1" s="1090"/>
    </row>
    <row r="2" spans="1:38" ht="15.75">
      <c r="A2" s="1013" t="str">
        <f>+'8 - Future Use'!A2</f>
        <v>GridLiance West LLC (GLW)</v>
      </c>
      <c r="B2" s="1013"/>
      <c r="C2" s="1013"/>
      <c r="D2" s="1013"/>
      <c r="E2" s="1013"/>
      <c r="F2" s="1013"/>
      <c r="G2" s="1013"/>
      <c r="H2" s="1013"/>
      <c r="I2" s="1013"/>
      <c r="J2" s="1013"/>
      <c r="K2" s="1013"/>
      <c r="L2" s="1013"/>
      <c r="M2" s="1013" t="str">
        <f>+A2</f>
        <v>GridLiance West LLC (GLW)</v>
      </c>
      <c r="N2" s="1013"/>
      <c r="O2" s="1013"/>
      <c r="P2" s="1013"/>
      <c r="Q2" s="1013"/>
      <c r="R2" s="1013"/>
      <c r="S2" s="1013"/>
      <c r="T2" s="1013"/>
      <c r="U2" s="1013"/>
      <c r="V2" s="1013"/>
      <c r="W2" s="1013"/>
      <c r="X2" s="1013"/>
      <c r="Y2" s="1013"/>
      <c r="Z2" s="1013" t="str">
        <f>+M2</f>
        <v>GridLiance West LLC (GLW)</v>
      </c>
      <c r="AA2" s="1013"/>
      <c r="AB2" s="1013"/>
      <c r="AC2" s="1013"/>
      <c r="AD2" s="1013"/>
      <c r="AE2" s="1013"/>
      <c r="AF2" s="1013"/>
      <c r="AG2" s="1013"/>
      <c r="AH2" s="1013"/>
      <c r="AI2" s="1013"/>
      <c r="AJ2" s="1013"/>
    </row>
    <row r="3" spans="1:38" ht="15.75">
      <c r="A3" s="814" t="s">
        <v>906</v>
      </c>
      <c r="B3" s="779"/>
      <c r="C3" s="779"/>
      <c r="D3" s="781"/>
      <c r="E3" s="784"/>
      <c r="F3" s="815"/>
      <c r="G3" s="806"/>
      <c r="H3" s="782"/>
      <c r="I3" s="806"/>
      <c r="J3" s="779"/>
      <c r="K3" s="779"/>
      <c r="L3" s="781"/>
      <c r="M3" s="814" t="s">
        <v>906</v>
      </c>
      <c r="N3" s="779"/>
      <c r="O3" s="779"/>
      <c r="P3" s="779"/>
      <c r="Q3" s="779"/>
      <c r="R3" s="779"/>
      <c r="S3" s="779"/>
      <c r="T3" s="779"/>
      <c r="U3" s="779"/>
      <c r="V3" s="779"/>
      <c r="W3" s="779"/>
      <c r="X3" s="779"/>
      <c r="Y3" s="779"/>
      <c r="Z3" s="814" t="s">
        <v>906</v>
      </c>
      <c r="AA3" s="779"/>
      <c r="AB3" s="815"/>
      <c r="AC3" s="779"/>
      <c r="AD3" s="779"/>
      <c r="AE3" s="779"/>
      <c r="AF3" s="779"/>
      <c r="AG3" s="779"/>
      <c r="AH3" s="779"/>
      <c r="AI3" s="779"/>
      <c r="AJ3" s="816"/>
    </row>
    <row r="4" spans="1:38" s="788" customFormat="1" ht="15.75">
      <c r="A4" s="817"/>
      <c r="B4" s="817"/>
      <c r="C4" s="817" t="s">
        <v>188</v>
      </c>
      <c r="D4" s="818" t="s">
        <v>523</v>
      </c>
      <c r="E4" s="817"/>
      <c r="F4" s="819" t="s">
        <v>882</v>
      </c>
      <c r="G4" s="818"/>
      <c r="H4" s="818" t="s">
        <v>525</v>
      </c>
      <c r="I4" s="818"/>
      <c r="J4" s="817" t="s">
        <v>883</v>
      </c>
      <c r="K4" s="817"/>
      <c r="L4" s="818" t="s">
        <v>527</v>
      </c>
      <c r="M4" s="817" t="s">
        <v>528</v>
      </c>
      <c r="N4" s="819" t="s">
        <v>529</v>
      </c>
      <c r="O4" s="819" t="s">
        <v>530</v>
      </c>
      <c r="P4" s="819" t="s">
        <v>531</v>
      </c>
      <c r="Q4" s="819" t="s">
        <v>532</v>
      </c>
      <c r="R4" s="819" t="s">
        <v>533</v>
      </c>
      <c r="S4" s="819" t="s">
        <v>534</v>
      </c>
      <c r="T4" s="819" t="s">
        <v>535</v>
      </c>
      <c r="U4" s="819" t="s">
        <v>536</v>
      </c>
      <c r="V4" s="819" t="s">
        <v>537</v>
      </c>
      <c r="W4" s="818" t="s">
        <v>538</v>
      </c>
      <c r="X4" s="817" t="s">
        <v>907</v>
      </c>
      <c r="Y4" s="817" t="s">
        <v>540</v>
      </c>
      <c r="Z4" s="817" t="s">
        <v>541</v>
      </c>
      <c r="AA4" s="819"/>
      <c r="AB4" s="817" t="s">
        <v>542</v>
      </c>
      <c r="AC4" s="817"/>
      <c r="AD4" s="817" t="s">
        <v>543</v>
      </c>
      <c r="AE4" s="817"/>
      <c r="AF4" s="817" t="s">
        <v>544</v>
      </c>
      <c r="AG4" s="817"/>
      <c r="AH4" s="817" t="s">
        <v>545</v>
      </c>
      <c r="AI4" s="817"/>
      <c r="AJ4" s="817"/>
      <c r="AK4" s="817"/>
      <c r="AL4" s="817"/>
    </row>
    <row r="5" spans="1:38" s="791" customFormat="1" ht="32.25" customHeight="1">
      <c r="A5" s="1096" t="s">
        <v>52</v>
      </c>
      <c r="B5" s="1096"/>
      <c r="C5" s="1096" t="s">
        <v>694</v>
      </c>
      <c r="D5" s="1096" t="s">
        <v>908</v>
      </c>
      <c r="E5" s="1097" t="s">
        <v>909</v>
      </c>
      <c r="F5" s="1096" t="s">
        <v>910</v>
      </c>
      <c r="G5" s="1096" t="s">
        <v>178</v>
      </c>
      <c r="H5" s="1096" t="s">
        <v>911</v>
      </c>
      <c r="I5" s="1096" t="s">
        <v>912</v>
      </c>
      <c r="J5" s="1096" t="s">
        <v>913</v>
      </c>
      <c r="K5" s="1096" t="s">
        <v>178</v>
      </c>
      <c r="L5" s="1096" t="s">
        <v>914</v>
      </c>
      <c r="M5" s="821" t="s">
        <v>888</v>
      </c>
      <c r="N5" s="821" t="s">
        <v>889</v>
      </c>
      <c r="O5" s="821" t="s">
        <v>890</v>
      </c>
      <c r="P5" s="821" t="s">
        <v>891</v>
      </c>
      <c r="Q5" s="821" t="s">
        <v>892</v>
      </c>
      <c r="R5" s="821" t="s">
        <v>893</v>
      </c>
      <c r="S5" s="821" t="s">
        <v>915</v>
      </c>
      <c r="T5" s="821" t="s">
        <v>895</v>
      </c>
      <c r="U5" s="821" t="s">
        <v>896</v>
      </c>
      <c r="V5" s="821" t="s">
        <v>897</v>
      </c>
      <c r="W5" s="821" t="s">
        <v>898</v>
      </c>
      <c r="X5" s="821" t="s">
        <v>899</v>
      </c>
      <c r="Y5" s="821" t="s">
        <v>888</v>
      </c>
      <c r="Z5" s="1096" t="s">
        <v>916</v>
      </c>
      <c r="AA5" s="1096" t="s">
        <v>912</v>
      </c>
      <c r="AB5" s="1099" t="s">
        <v>917</v>
      </c>
      <c r="AC5" s="1100" t="s">
        <v>178</v>
      </c>
      <c r="AD5" s="1099" t="s">
        <v>918</v>
      </c>
      <c r="AF5" s="1099" t="s">
        <v>919</v>
      </c>
      <c r="AH5" s="1096" t="s">
        <v>920</v>
      </c>
    </row>
    <row r="6" spans="1:38" s="791" customFormat="1" ht="51.75" customHeight="1">
      <c r="A6" s="1096"/>
      <c r="B6" s="1096"/>
      <c r="C6" s="1096"/>
      <c r="D6" s="1096"/>
      <c r="E6" s="1097"/>
      <c r="F6" s="1096"/>
      <c r="G6" s="1096"/>
      <c r="H6" s="1096"/>
      <c r="I6" s="1096"/>
      <c r="J6" s="1096"/>
      <c r="K6" s="1096"/>
      <c r="L6" s="1096"/>
      <c r="M6" s="823">
        <f>YEAR(EDATE('Appendix III'!$N$7,-12))</f>
        <v>2026</v>
      </c>
      <c r="N6" s="823">
        <f>YEAR('Appendix III'!$N$7)</f>
        <v>2027</v>
      </c>
      <c r="O6" s="823">
        <f>YEAR('Appendix III'!$N$7)</f>
        <v>2027</v>
      </c>
      <c r="P6" s="823">
        <f>YEAR('Appendix III'!$N$7)</f>
        <v>2027</v>
      </c>
      <c r="Q6" s="823">
        <f>YEAR('Appendix III'!$N$7)</f>
        <v>2027</v>
      </c>
      <c r="R6" s="823">
        <f>YEAR('Appendix III'!$N$7)</f>
        <v>2027</v>
      </c>
      <c r="S6" s="823">
        <f>YEAR('Appendix III'!$N$7)</f>
        <v>2027</v>
      </c>
      <c r="T6" s="823">
        <f>YEAR('Appendix III'!$N$7)</f>
        <v>2027</v>
      </c>
      <c r="U6" s="823">
        <f>YEAR('Appendix III'!$N$7)</f>
        <v>2027</v>
      </c>
      <c r="V6" s="823">
        <f>YEAR('Appendix III'!$N$7)</f>
        <v>2027</v>
      </c>
      <c r="W6" s="823">
        <f>YEAR('Appendix III'!$N$7)</f>
        <v>2027</v>
      </c>
      <c r="X6" s="823">
        <f>YEAR('Appendix III'!$N$7)</f>
        <v>2027</v>
      </c>
      <c r="Y6" s="823">
        <f>YEAR('Appendix III'!$N$7)</f>
        <v>2027</v>
      </c>
      <c r="Z6" s="1096"/>
      <c r="AA6" s="1096"/>
      <c r="AB6" s="1096"/>
      <c r="AC6" s="1100"/>
      <c r="AD6" s="1096"/>
      <c r="AE6" s="820"/>
      <c r="AF6" s="1096"/>
      <c r="AH6" s="1096"/>
    </row>
    <row r="7" spans="1:38" ht="15.75">
      <c r="A7" s="824">
        <v>1</v>
      </c>
      <c r="B7" s="824"/>
      <c r="C7" s="824" t="s">
        <v>921</v>
      </c>
      <c r="D7" s="825">
        <v>20335132.800000001</v>
      </c>
      <c r="E7" s="826"/>
      <c r="F7" s="827">
        <f>10*12</f>
        <v>120</v>
      </c>
      <c r="G7" s="828"/>
      <c r="H7" s="799">
        <f t="shared" ref="H7:H56" si="0">IFERROR(D7/F7,0)</f>
        <v>169459.44</v>
      </c>
      <c r="I7" s="829"/>
      <c r="J7" s="798">
        <v>12</v>
      </c>
      <c r="K7" s="829"/>
      <c r="L7" s="830">
        <f t="shared" ref="L7:L56" si="1">IFERROR(H7*J7,0)</f>
        <v>2033513.28</v>
      </c>
      <c r="M7" s="831">
        <v>4067026.5599999898</v>
      </c>
      <c r="N7" s="831">
        <f>+M7-($L$7/12)</f>
        <v>3897567.1199999899</v>
      </c>
      <c r="O7" s="831">
        <f t="shared" ref="O7:Y7" si="2">+N7-($L$7/12)</f>
        <v>3728107.6799999899</v>
      </c>
      <c r="P7" s="831">
        <f t="shared" si="2"/>
        <v>3558648.23999999</v>
      </c>
      <c r="Q7" s="831">
        <f t="shared" si="2"/>
        <v>3389188.79999999</v>
      </c>
      <c r="R7" s="831">
        <f t="shared" si="2"/>
        <v>3219729.3599999901</v>
      </c>
      <c r="S7" s="831">
        <f t="shared" si="2"/>
        <v>3050269.9199999901</v>
      </c>
      <c r="T7" s="831">
        <f t="shared" si="2"/>
        <v>2880810.4799999902</v>
      </c>
      <c r="U7" s="831">
        <f t="shared" si="2"/>
        <v>2711351.0399999903</v>
      </c>
      <c r="V7" s="831">
        <f t="shared" si="2"/>
        <v>2541891.5999999903</v>
      </c>
      <c r="W7" s="831">
        <f t="shared" si="2"/>
        <v>2372432.1599999904</v>
      </c>
      <c r="X7" s="831">
        <f t="shared" si="2"/>
        <v>2202972.7199999904</v>
      </c>
      <c r="Y7" s="831">
        <f t="shared" si="2"/>
        <v>2033513.2799999905</v>
      </c>
      <c r="Z7" s="799">
        <f t="shared" ref="Z7:Z56" si="3">SUM(M7:Y7)/13</f>
        <v>3050269.9199999901</v>
      </c>
      <c r="AA7" s="829"/>
      <c r="AB7" s="829">
        <v>1</v>
      </c>
      <c r="AC7" s="832"/>
      <c r="AD7" s="799">
        <f>Z7*AB7</f>
        <v>3050269.9199999901</v>
      </c>
      <c r="AE7" s="833"/>
      <c r="AF7" s="829"/>
      <c r="AG7" s="834"/>
      <c r="AH7" s="835" t="s">
        <v>922</v>
      </c>
      <c r="AI7" s="834"/>
      <c r="AL7" s="783"/>
    </row>
    <row r="8" spans="1:38" ht="15.75">
      <c r="A8" s="824">
        <f>+A7+1</f>
        <v>2</v>
      </c>
      <c r="B8" s="829"/>
      <c r="C8" s="829"/>
      <c r="D8" s="836"/>
      <c r="E8" s="837"/>
      <c r="F8" s="836"/>
      <c r="G8" s="838"/>
      <c r="H8" s="799">
        <f t="shared" si="0"/>
        <v>0</v>
      </c>
      <c r="I8" s="829"/>
      <c r="J8" s="798"/>
      <c r="K8" s="829"/>
      <c r="L8" s="830">
        <f t="shared" si="1"/>
        <v>0</v>
      </c>
      <c r="M8" s="839"/>
      <c r="N8" s="840"/>
      <c r="O8" s="840"/>
      <c r="P8" s="840"/>
      <c r="Q8" s="840"/>
      <c r="R8" s="840"/>
      <c r="S8" s="840"/>
      <c r="T8" s="840"/>
      <c r="U8" s="840"/>
      <c r="V8" s="840"/>
      <c r="W8" s="840"/>
      <c r="X8" s="840"/>
      <c r="Y8" s="840"/>
      <c r="Z8" s="841">
        <f t="shared" si="3"/>
        <v>0</v>
      </c>
      <c r="AA8" s="829"/>
      <c r="AB8" s="829"/>
      <c r="AC8" s="842"/>
      <c r="AD8" s="843">
        <f t="shared" ref="AD8:AD56" si="4">Z8*AB8</f>
        <v>0</v>
      </c>
      <c r="AE8" s="833"/>
      <c r="AF8" s="829"/>
      <c r="AG8" s="834"/>
      <c r="AH8" s="829"/>
      <c r="AI8" s="834"/>
      <c r="AL8" s="783"/>
    </row>
    <row r="9" spans="1:38" ht="15.75">
      <c r="A9" s="824">
        <f t="shared" ref="A9:A56" si="5">+A8+1</f>
        <v>3</v>
      </c>
      <c r="B9" s="829"/>
      <c r="C9" s="829"/>
      <c r="D9" s="836"/>
      <c r="E9" s="837"/>
      <c r="F9" s="836"/>
      <c r="G9" s="838"/>
      <c r="H9" s="799">
        <f t="shared" si="0"/>
        <v>0</v>
      </c>
      <c r="I9" s="829"/>
      <c r="J9" s="798"/>
      <c r="K9" s="829"/>
      <c r="L9" s="830">
        <f t="shared" si="1"/>
        <v>0</v>
      </c>
      <c r="M9" s="840"/>
      <c r="N9" s="839"/>
      <c r="O9" s="839"/>
      <c r="P9" s="839"/>
      <c r="Q9" s="839"/>
      <c r="R9" s="839"/>
      <c r="S9" s="839"/>
      <c r="T9" s="839"/>
      <c r="U9" s="839"/>
      <c r="V9" s="839"/>
      <c r="W9" s="839"/>
      <c r="X9" s="839"/>
      <c r="Y9" s="839"/>
      <c r="Z9" s="841">
        <f t="shared" si="3"/>
        <v>0</v>
      </c>
      <c r="AA9" s="829"/>
      <c r="AB9" s="829"/>
      <c r="AC9" s="842"/>
      <c r="AD9" s="843">
        <f t="shared" si="4"/>
        <v>0</v>
      </c>
      <c r="AE9" s="833"/>
      <c r="AF9" s="829"/>
      <c r="AG9" s="834"/>
      <c r="AH9" s="829"/>
      <c r="AI9" s="834"/>
      <c r="AL9" s="783"/>
    </row>
    <row r="10" spans="1:38" ht="15.75">
      <c r="A10" s="824">
        <f t="shared" si="5"/>
        <v>4</v>
      </c>
      <c r="B10" s="829"/>
      <c r="C10" s="829"/>
      <c r="D10" s="836"/>
      <c r="E10" s="837"/>
      <c r="F10" s="836"/>
      <c r="G10" s="838"/>
      <c r="H10" s="799">
        <f t="shared" si="0"/>
        <v>0</v>
      </c>
      <c r="I10" s="829"/>
      <c r="J10" s="798"/>
      <c r="K10" s="829"/>
      <c r="L10" s="830">
        <f t="shared" si="1"/>
        <v>0</v>
      </c>
      <c r="M10" s="839"/>
      <c r="N10" s="839"/>
      <c r="O10" s="839"/>
      <c r="P10" s="839"/>
      <c r="Q10" s="839"/>
      <c r="R10" s="839"/>
      <c r="S10" s="839"/>
      <c r="T10" s="839"/>
      <c r="U10" s="839"/>
      <c r="V10" s="839"/>
      <c r="W10" s="839"/>
      <c r="X10" s="839"/>
      <c r="Y10" s="839"/>
      <c r="Z10" s="841">
        <f t="shared" si="3"/>
        <v>0</v>
      </c>
      <c r="AA10" s="829"/>
      <c r="AB10" s="829"/>
      <c r="AC10" s="842"/>
      <c r="AD10" s="843">
        <f t="shared" si="4"/>
        <v>0</v>
      </c>
      <c r="AE10" s="833"/>
      <c r="AF10" s="829"/>
      <c r="AG10" s="834"/>
      <c r="AH10" s="829"/>
      <c r="AI10" s="834"/>
      <c r="AL10" s="783"/>
    </row>
    <row r="11" spans="1:38" ht="15.75">
      <c r="A11" s="824">
        <f t="shared" si="5"/>
        <v>5</v>
      </c>
      <c r="B11" s="829"/>
      <c r="C11" s="829"/>
      <c r="D11" s="836"/>
      <c r="E11" s="837"/>
      <c r="F11" s="836"/>
      <c r="G11" s="838"/>
      <c r="H11" s="799">
        <f t="shared" si="0"/>
        <v>0</v>
      </c>
      <c r="I11" s="829"/>
      <c r="J11" s="798"/>
      <c r="K11" s="829"/>
      <c r="L11" s="830">
        <f t="shared" si="1"/>
        <v>0</v>
      </c>
      <c r="M11" s="839"/>
      <c r="N11" s="839"/>
      <c r="O11" s="839"/>
      <c r="P11" s="839"/>
      <c r="Q11" s="839"/>
      <c r="R11" s="839"/>
      <c r="S11" s="839"/>
      <c r="T11" s="839"/>
      <c r="U11" s="839"/>
      <c r="V11" s="839"/>
      <c r="W11" s="839"/>
      <c r="X11" s="839"/>
      <c r="Y11" s="839"/>
      <c r="Z11" s="841">
        <f t="shared" si="3"/>
        <v>0</v>
      </c>
      <c r="AA11" s="829"/>
      <c r="AB11" s="829"/>
      <c r="AC11" s="842"/>
      <c r="AD11" s="843">
        <f t="shared" si="4"/>
        <v>0</v>
      </c>
      <c r="AE11" s="833"/>
      <c r="AF11" s="829"/>
      <c r="AG11" s="834"/>
      <c r="AH11" s="829"/>
      <c r="AI11" s="834"/>
      <c r="AL11" s="783"/>
    </row>
    <row r="12" spans="1:38" ht="15.75">
      <c r="A12" s="824">
        <f t="shared" si="5"/>
        <v>6</v>
      </c>
      <c r="B12" s="829"/>
      <c r="C12" s="829"/>
      <c r="D12" s="836"/>
      <c r="E12" s="837"/>
      <c r="F12" s="836"/>
      <c r="G12" s="838"/>
      <c r="H12" s="799">
        <f t="shared" si="0"/>
        <v>0</v>
      </c>
      <c r="I12" s="829"/>
      <c r="J12" s="798"/>
      <c r="K12" s="829"/>
      <c r="L12" s="830">
        <f t="shared" si="1"/>
        <v>0</v>
      </c>
      <c r="M12" s="839"/>
      <c r="N12" s="839"/>
      <c r="O12" s="839"/>
      <c r="P12" s="839"/>
      <c r="Q12" s="839"/>
      <c r="R12" s="839"/>
      <c r="S12" s="839"/>
      <c r="T12" s="839"/>
      <c r="U12" s="839"/>
      <c r="V12" s="839"/>
      <c r="W12" s="839"/>
      <c r="X12" s="839"/>
      <c r="Y12" s="839"/>
      <c r="Z12" s="841">
        <f t="shared" si="3"/>
        <v>0</v>
      </c>
      <c r="AA12" s="829"/>
      <c r="AB12" s="829"/>
      <c r="AC12" s="842"/>
      <c r="AD12" s="843">
        <f t="shared" si="4"/>
        <v>0</v>
      </c>
      <c r="AE12" s="833"/>
      <c r="AF12" s="829"/>
      <c r="AG12" s="834"/>
      <c r="AH12" s="829"/>
      <c r="AI12" s="834"/>
      <c r="AL12" s="783"/>
    </row>
    <row r="13" spans="1:38" ht="15.75">
      <c r="A13" s="824">
        <f t="shared" si="5"/>
        <v>7</v>
      </c>
      <c r="B13" s="829"/>
      <c r="C13" s="829"/>
      <c r="D13" s="836"/>
      <c r="E13" s="837"/>
      <c r="F13" s="836"/>
      <c r="G13" s="838"/>
      <c r="H13" s="799">
        <f t="shared" si="0"/>
        <v>0</v>
      </c>
      <c r="I13" s="829"/>
      <c r="J13" s="798"/>
      <c r="K13" s="829"/>
      <c r="L13" s="830">
        <f t="shared" si="1"/>
        <v>0</v>
      </c>
      <c r="M13" s="839"/>
      <c r="N13" s="839"/>
      <c r="O13" s="839"/>
      <c r="P13" s="839"/>
      <c r="Q13" s="839"/>
      <c r="R13" s="839"/>
      <c r="S13" s="839"/>
      <c r="T13" s="839"/>
      <c r="U13" s="839"/>
      <c r="V13" s="839"/>
      <c r="W13" s="839"/>
      <c r="X13" s="839"/>
      <c r="Y13" s="839"/>
      <c r="Z13" s="841">
        <f t="shared" si="3"/>
        <v>0</v>
      </c>
      <c r="AA13" s="829"/>
      <c r="AB13" s="829"/>
      <c r="AC13" s="842"/>
      <c r="AD13" s="843">
        <f t="shared" si="4"/>
        <v>0</v>
      </c>
      <c r="AE13" s="833"/>
      <c r="AF13" s="829"/>
      <c r="AG13" s="834"/>
      <c r="AH13" s="829"/>
      <c r="AI13" s="834"/>
      <c r="AL13" s="783"/>
    </row>
    <row r="14" spans="1:38" ht="15.75">
      <c r="A14" s="824">
        <f t="shared" si="5"/>
        <v>8</v>
      </c>
      <c r="B14" s="829"/>
      <c r="C14" s="829"/>
      <c r="D14" s="836"/>
      <c r="E14" s="837"/>
      <c r="F14" s="836"/>
      <c r="G14" s="838"/>
      <c r="H14" s="799">
        <f t="shared" si="0"/>
        <v>0</v>
      </c>
      <c r="I14" s="829"/>
      <c r="J14" s="798"/>
      <c r="K14" s="829"/>
      <c r="L14" s="830">
        <f t="shared" si="1"/>
        <v>0</v>
      </c>
      <c r="M14" s="839"/>
      <c r="N14" s="839"/>
      <c r="O14" s="839"/>
      <c r="P14" s="839"/>
      <c r="Q14" s="839"/>
      <c r="R14" s="839"/>
      <c r="S14" s="839"/>
      <c r="T14" s="839"/>
      <c r="U14" s="839"/>
      <c r="V14" s="839"/>
      <c r="W14" s="839"/>
      <c r="X14" s="839"/>
      <c r="Y14" s="839"/>
      <c r="Z14" s="841">
        <f t="shared" si="3"/>
        <v>0</v>
      </c>
      <c r="AA14" s="829"/>
      <c r="AB14" s="829"/>
      <c r="AC14" s="842"/>
      <c r="AD14" s="843">
        <f t="shared" si="4"/>
        <v>0</v>
      </c>
      <c r="AE14" s="833"/>
      <c r="AF14" s="829"/>
      <c r="AG14" s="834"/>
      <c r="AH14" s="829"/>
      <c r="AI14" s="834"/>
      <c r="AL14" s="783"/>
    </row>
    <row r="15" spans="1:38" ht="15.75">
      <c r="A15" s="824">
        <f t="shared" si="5"/>
        <v>9</v>
      </c>
      <c r="B15" s="829"/>
      <c r="C15" s="829"/>
      <c r="D15" s="836"/>
      <c r="E15" s="837"/>
      <c r="F15" s="836"/>
      <c r="G15" s="838"/>
      <c r="H15" s="799">
        <f t="shared" si="0"/>
        <v>0</v>
      </c>
      <c r="I15" s="829"/>
      <c r="J15" s="798"/>
      <c r="K15" s="829"/>
      <c r="L15" s="830">
        <f t="shared" si="1"/>
        <v>0</v>
      </c>
      <c r="M15" s="839"/>
      <c r="N15" s="839"/>
      <c r="O15" s="839"/>
      <c r="P15" s="839"/>
      <c r="Q15" s="839"/>
      <c r="R15" s="839"/>
      <c r="S15" s="839"/>
      <c r="T15" s="839"/>
      <c r="U15" s="839"/>
      <c r="V15" s="839"/>
      <c r="W15" s="839"/>
      <c r="X15" s="839"/>
      <c r="Y15" s="839"/>
      <c r="Z15" s="841">
        <f t="shared" si="3"/>
        <v>0</v>
      </c>
      <c r="AA15" s="829"/>
      <c r="AB15" s="829"/>
      <c r="AC15" s="842"/>
      <c r="AD15" s="843">
        <f t="shared" si="4"/>
        <v>0</v>
      </c>
      <c r="AE15" s="833"/>
      <c r="AF15" s="829"/>
      <c r="AG15" s="834"/>
      <c r="AH15" s="829"/>
      <c r="AI15" s="834"/>
      <c r="AL15" s="783"/>
    </row>
    <row r="16" spans="1:38" ht="15.75">
      <c r="A16" s="824">
        <f t="shared" si="5"/>
        <v>10</v>
      </c>
      <c r="B16" s="829"/>
      <c r="C16" s="829"/>
      <c r="D16" s="836"/>
      <c r="E16" s="837"/>
      <c r="F16" s="836"/>
      <c r="G16" s="838"/>
      <c r="H16" s="799">
        <f t="shared" si="0"/>
        <v>0</v>
      </c>
      <c r="I16" s="829"/>
      <c r="J16" s="798"/>
      <c r="K16" s="829"/>
      <c r="L16" s="830">
        <f t="shared" si="1"/>
        <v>0</v>
      </c>
      <c r="M16" s="839"/>
      <c r="N16" s="839"/>
      <c r="O16" s="839"/>
      <c r="P16" s="839"/>
      <c r="Q16" s="839"/>
      <c r="R16" s="839"/>
      <c r="S16" s="839"/>
      <c r="T16" s="839"/>
      <c r="U16" s="839"/>
      <c r="V16" s="839"/>
      <c r="W16" s="839"/>
      <c r="X16" s="839"/>
      <c r="Y16" s="839"/>
      <c r="Z16" s="841">
        <f t="shared" si="3"/>
        <v>0</v>
      </c>
      <c r="AA16" s="829"/>
      <c r="AB16" s="829"/>
      <c r="AC16" s="842"/>
      <c r="AD16" s="843">
        <f t="shared" si="4"/>
        <v>0</v>
      </c>
      <c r="AE16" s="833"/>
      <c r="AF16" s="829"/>
      <c r="AG16" s="834"/>
      <c r="AH16" s="829"/>
      <c r="AI16" s="834"/>
      <c r="AL16" s="783"/>
    </row>
    <row r="17" spans="1:38" ht="15.75">
      <c r="A17" s="824">
        <f t="shared" si="5"/>
        <v>11</v>
      </c>
      <c r="B17" s="829"/>
      <c r="C17" s="829"/>
      <c r="D17" s="836"/>
      <c r="E17" s="837"/>
      <c r="F17" s="836"/>
      <c r="G17" s="838"/>
      <c r="H17" s="799">
        <f t="shared" si="0"/>
        <v>0</v>
      </c>
      <c r="I17" s="829"/>
      <c r="J17" s="798"/>
      <c r="K17" s="829"/>
      <c r="L17" s="830">
        <f t="shared" si="1"/>
        <v>0</v>
      </c>
      <c r="M17" s="839"/>
      <c r="N17" s="839"/>
      <c r="O17" s="839"/>
      <c r="P17" s="839"/>
      <c r="Q17" s="839"/>
      <c r="R17" s="839"/>
      <c r="S17" s="839"/>
      <c r="T17" s="839"/>
      <c r="U17" s="839"/>
      <c r="V17" s="839"/>
      <c r="W17" s="839"/>
      <c r="X17" s="839"/>
      <c r="Y17" s="839"/>
      <c r="Z17" s="841">
        <f t="shared" si="3"/>
        <v>0</v>
      </c>
      <c r="AA17" s="829"/>
      <c r="AB17" s="829"/>
      <c r="AC17" s="842"/>
      <c r="AD17" s="843">
        <f t="shared" si="4"/>
        <v>0</v>
      </c>
      <c r="AE17" s="833"/>
      <c r="AF17" s="829"/>
      <c r="AG17" s="834"/>
      <c r="AH17" s="829"/>
      <c r="AI17" s="834"/>
      <c r="AL17" s="783"/>
    </row>
    <row r="18" spans="1:38" ht="15.75">
      <c r="A18" s="824">
        <f t="shared" si="5"/>
        <v>12</v>
      </c>
      <c r="B18" s="829"/>
      <c r="C18" s="829"/>
      <c r="D18" s="836"/>
      <c r="E18" s="837"/>
      <c r="F18" s="836"/>
      <c r="G18" s="838"/>
      <c r="H18" s="799">
        <f t="shared" si="0"/>
        <v>0</v>
      </c>
      <c r="I18" s="829"/>
      <c r="J18" s="798"/>
      <c r="K18" s="829"/>
      <c r="L18" s="830">
        <f t="shared" si="1"/>
        <v>0</v>
      </c>
      <c r="M18" s="839"/>
      <c r="N18" s="839"/>
      <c r="O18" s="839"/>
      <c r="P18" s="839"/>
      <c r="Q18" s="839"/>
      <c r="R18" s="839"/>
      <c r="S18" s="839"/>
      <c r="T18" s="839"/>
      <c r="U18" s="839"/>
      <c r="V18" s="839"/>
      <c r="W18" s="839"/>
      <c r="X18" s="839"/>
      <c r="Y18" s="839"/>
      <c r="Z18" s="841">
        <f t="shared" si="3"/>
        <v>0</v>
      </c>
      <c r="AA18" s="829"/>
      <c r="AB18" s="829"/>
      <c r="AC18" s="842"/>
      <c r="AD18" s="843">
        <f t="shared" si="4"/>
        <v>0</v>
      </c>
      <c r="AE18" s="833"/>
      <c r="AF18" s="829"/>
      <c r="AG18" s="834"/>
      <c r="AH18" s="829"/>
      <c r="AI18" s="834"/>
      <c r="AL18" s="783"/>
    </row>
    <row r="19" spans="1:38" ht="15.75">
      <c r="A19" s="824">
        <f t="shared" si="5"/>
        <v>13</v>
      </c>
      <c r="B19" s="829"/>
      <c r="C19" s="829"/>
      <c r="D19" s="836"/>
      <c r="E19" s="837"/>
      <c r="F19" s="836"/>
      <c r="G19" s="838"/>
      <c r="H19" s="799">
        <f t="shared" si="0"/>
        <v>0</v>
      </c>
      <c r="I19" s="829"/>
      <c r="J19" s="798"/>
      <c r="K19" s="829"/>
      <c r="L19" s="830">
        <f t="shared" si="1"/>
        <v>0</v>
      </c>
      <c r="M19" s="839"/>
      <c r="N19" s="839"/>
      <c r="O19" s="839"/>
      <c r="P19" s="839"/>
      <c r="Q19" s="839"/>
      <c r="R19" s="839"/>
      <c r="S19" s="839"/>
      <c r="T19" s="839"/>
      <c r="U19" s="839"/>
      <c r="V19" s="839"/>
      <c r="W19" s="839"/>
      <c r="X19" s="839"/>
      <c r="Y19" s="839"/>
      <c r="Z19" s="841">
        <f t="shared" si="3"/>
        <v>0</v>
      </c>
      <c r="AA19" s="829"/>
      <c r="AB19" s="829"/>
      <c r="AC19" s="842"/>
      <c r="AD19" s="843">
        <f t="shared" si="4"/>
        <v>0</v>
      </c>
      <c r="AE19" s="833"/>
      <c r="AF19" s="829"/>
      <c r="AG19" s="834"/>
      <c r="AH19" s="829"/>
      <c r="AI19" s="834"/>
      <c r="AL19" s="783"/>
    </row>
    <row r="20" spans="1:38" ht="15.75">
      <c r="A20" s="824">
        <f t="shared" si="5"/>
        <v>14</v>
      </c>
      <c r="B20" s="829"/>
      <c r="C20" s="829"/>
      <c r="D20" s="836"/>
      <c r="E20" s="837"/>
      <c r="F20" s="836"/>
      <c r="G20" s="838"/>
      <c r="H20" s="799">
        <f t="shared" si="0"/>
        <v>0</v>
      </c>
      <c r="I20" s="829"/>
      <c r="J20" s="798"/>
      <c r="K20" s="829"/>
      <c r="L20" s="830">
        <f t="shared" si="1"/>
        <v>0</v>
      </c>
      <c r="M20" s="839"/>
      <c r="N20" s="839"/>
      <c r="O20" s="839"/>
      <c r="P20" s="839"/>
      <c r="Q20" s="839"/>
      <c r="R20" s="839"/>
      <c r="S20" s="839"/>
      <c r="T20" s="839"/>
      <c r="U20" s="839"/>
      <c r="V20" s="839"/>
      <c r="W20" s="839"/>
      <c r="X20" s="839"/>
      <c r="Y20" s="839"/>
      <c r="Z20" s="841">
        <f t="shared" si="3"/>
        <v>0</v>
      </c>
      <c r="AA20" s="829"/>
      <c r="AB20" s="829"/>
      <c r="AC20" s="842"/>
      <c r="AD20" s="843">
        <f t="shared" si="4"/>
        <v>0</v>
      </c>
      <c r="AE20" s="833"/>
      <c r="AF20" s="829"/>
      <c r="AG20" s="834"/>
      <c r="AH20" s="829"/>
      <c r="AI20" s="834"/>
      <c r="AL20" s="783"/>
    </row>
    <row r="21" spans="1:38" ht="15.75">
      <c r="A21" s="824">
        <f t="shared" si="5"/>
        <v>15</v>
      </c>
      <c r="B21" s="829"/>
      <c r="C21" s="829"/>
      <c r="D21" s="836"/>
      <c r="E21" s="837"/>
      <c r="F21" s="836"/>
      <c r="G21" s="838"/>
      <c r="H21" s="799">
        <f t="shared" si="0"/>
        <v>0</v>
      </c>
      <c r="I21" s="829"/>
      <c r="J21" s="798"/>
      <c r="K21" s="829"/>
      <c r="L21" s="830">
        <f t="shared" si="1"/>
        <v>0</v>
      </c>
      <c r="M21" s="839"/>
      <c r="N21" s="839"/>
      <c r="O21" s="839"/>
      <c r="P21" s="839"/>
      <c r="Q21" s="839"/>
      <c r="R21" s="839"/>
      <c r="S21" s="839"/>
      <c r="T21" s="839"/>
      <c r="U21" s="839"/>
      <c r="V21" s="839"/>
      <c r="W21" s="839"/>
      <c r="X21" s="839"/>
      <c r="Y21" s="839"/>
      <c r="Z21" s="841">
        <f t="shared" si="3"/>
        <v>0</v>
      </c>
      <c r="AA21" s="829"/>
      <c r="AB21" s="829"/>
      <c r="AC21" s="842"/>
      <c r="AD21" s="843">
        <f t="shared" si="4"/>
        <v>0</v>
      </c>
      <c r="AE21" s="833"/>
      <c r="AF21" s="829"/>
      <c r="AG21" s="834"/>
      <c r="AH21" s="829"/>
      <c r="AI21" s="834"/>
      <c r="AL21" s="783"/>
    </row>
    <row r="22" spans="1:38" ht="15.75">
      <c r="A22" s="824">
        <f t="shared" si="5"/>
        <v>16</v>
      </c>
      <c r="B22" s="829"/>
      <c r="C22" s="829"/>
      <c r="D22" s="836"/>
      <c r="E22" s="837"/>
      <c r="F22" s="836"/>
      <c r="G22" s="838"/>
      <c r="H22" s="799">
        <f t="shared" si="0"/>
        <v>0</v>
      </c>
      <c r="I22" s="829"/>
      <c r="J22" s="798"/>
      <c r="K22" s="829"/>
      <c r="L22" s="830">
        <f t="shared" si="1"/>
        <v>0</v>
      </c>
      <c r="M22" s="839"/>
      <c r="N22" s="839"/>
      <c r="O22" s="839"/>
      <c r="P22" s="839"/>
      <c r="Q22" s="839"/>
      <c r="R22" s="839"/>
      <c r="S22" s="839"/>
      <c r="T22" s="839"/>
      <c r="U22" s="839"/>
      <c r="V22" s="839"/>
      <c r="W22" s="839"/>
      <c r="X22" s="839"/>
      <c r="Y22" s="839"/>
      <c r="Z22" s="841">
        <f t="shared" si="3"/>
        <v>0</v>
      </c>
      <c r="AA22" s="829"/>
      <c r="AB22" s="829"/>
      <c r="AC22" s="842"/>
      <c r="AD22" s="843">
        <f t="shared" si="4"/>
        <v>0</v>
      </c>
      <c r="AE22" s="833"/>
      <c r="AF22" s="829"/>
      <c r="AG22" s="834"/>
      <c r="AH22" s="829"/>
      <c r="AI22" s="834"/>
      <c r="AL22" s="783"/>
    </row>
    <row r="23" spans="1:38" ht="15.75">
      <c r="A23" s="824">
        <f t="shared" si="5"/>
        <v>17</v>
      </c>
      <c r="B23" s="829"/>
      <c r="C23" s="829"/>
      <c r="D23" s="836"/>
      <c r="E23" s="837"/>
      <c r="F23" s="836"/>
      <c r="G23" s="838"/>
      <c r="H23" s="799">
        <f t="shared" si="0"/>
        <v>0</v>
      </c>
      <c r="I23" s="829"/>
      <c r="J23" s="798"/>
      <c r="K23" s="829"/>
      <c r="L23" s="830">
        <f t="shared" si="1"/>
        <v>0</v>
      </c>
      <c r="M23" s="839"/>
      <c r="N23" s="839"/>
      <c r="O23" s="839"/>
      <c r="P23" s="839"/>
      <c r="Q23" s="839"/>
      <c r="R23" s="839"/>
      <c r="S23" s="839"/>
      <c r="T23" s="839"/>
      <c r="U23" s="839"/>
      <c r="V23" s="839"/>
      <c r="W23" s="839"/>
      <c r="X23" s="839"/>
      <c r="Y23" s="839"/>
      <c r="Z23" s="841">
        <f t="shared" si="3"/>
        <v>0</v>
      </c>
      <c r="AA23" s="829"/>
      <c r="AB23" s="829"/>
      <c r="AC23" s="842"/>
      <c r="AD23" s="843">
        <f t="shared" si="4"/>
        <v>0</v>
      </c>
      <c r="AE23" s="833"/>
      <c r="AF23" s="829"/>
      <c r="AG23" s="834"/>
      <c r="AH23" s="829"/>
      <c r="AI23" s="834"/>
      <c r="AL23" s="783"/>
    </row>
    <row r="24" spans="1:38" ht="15.75">
      <c r="A24" s="824">
        <f t="shared" si="5"/>
        <v>18</v>
      </c>
      <c r="B24" s="829"/>
      <c r="C24" s="829"/>
      <c r="D24" s="836"/>
      <c r="E24" s="837"/>
      <c r="F24" s="836"/>
      <c r="G24" s="838"/>
      <c r="H24" s="799">
        <f t="shared" si="0"/>
        <v>0</v>
      </c>
      <c r="I24" s="829"/>
      <c r="J24" s="798"/>
      <c r="K24" s="829"/>
      <c r="L24" s="830">
        <f t="shared" si="1"/>
        <v>0</v>
      </c>
      <c r="M24" s="839"/>
      <c r="N24" s="839"/>
      <c r="O24" s="839"/>
      <c r="P24" s="839"/>
      <c r="Q24" s="839"/>
      <c r="R24" s="839"/>
      <c r="S24" s="839"/>
      <c r="T24" s="839"/>
      <c r="U24" s="839"/>
      <c r="V24" s="839"/>
      <c r="W24" s="839"/>
      <c r="X24" s="839"/>
      <c r="Y24" s="839"/>
      <c r="Z24" s="841">
        <f t="shared" si="3"/>
        <v>0</v>
      </c>
      <c r="AA24" s="829"/>
      <c r="AB24" s="829"/>
      <c r="AC24" s="842"/>
      <c r="AD24" s="843">
        <f t="shared" si="4"/>
        <v>0</v>
      </c>
      <c r="AE24" s="833"/>
      <c r="AF24" s="829"/>
      <c r="AG24" s="834"/>
      <c r="AH24" s="829"/>
      <c r="AI24" s="834"/>
      <c r="AL24" s="783"/>
    </row>
    <row r="25" spans="1:38" ht="15.75">
      <c r="A25" s="824">
        <f t="shared" si="5"/>
        <v>19</v>
      </c>
      <c r="B25" s="829"/>
      <c r="C25" s="829"/>
      <c r="D25" s="836"/>
      <c r="E25" s="837"/>
      <c r="F25" s="836"/>
      <c r="G25" s="838"/>
      <c r="H25" s="799">
        <f t="shared" si="0"/>
        <v>0</v>
      </c>
      <c r="I25" s="829"/>
      <c r="J25" s="798"/>
      <c r="K25" s="829"/>
      <c r="L25" s="830">
        <f t="shared" si="1"/>
        <v>0</v>
      </c>
      <c r="M25" s="839"/>
      <c r="N25" s="839"/>
      <c r="O25" s="839"/>
      <c r="P25" s="839"/>
      <c r="Q25" s="839"/>
      <c r="R25" s="839"/>
      <c r="S25" s="839"/>
      <c r="T25" s="839"/>
      <c r="U25" s="839"/>
      <c r="V25" s="839"/>
      <c r="W25" s="839"/>
      <c r="X25" s="839"/>
      <c r="Y25" s="839"/>
      <c r="Z25" s="841">
        <f t="shared" si="3"/>
        <v>0</v>
      </c>
      <c r="AA25" s="829"/>
      <c r="AB25" s="829"/>
      <c r="AC25" s="842"/>
      <c r="AD25" s="843">
        <f t="shared" si="4"/>
        <v>0</v>
      </c>
      <c r="AE25" s="833"/>
      <c r="AF25" s="829"/>
      <c r="AG25" s="834"/>
      <c r="AH25" s="829"/>
      <c r="AI25" s="834"/>
      <c r="AL25" s="783"/>
    </row>
    <row r="26" spans="1:38" ht="15.75">
      <c r="A26" s="824">
        <f t="shared" si="5"/>
        <v>20</v>
      </c>
      <c r="B26" s="829"/>
      <c r="C26" s="829"/>
      <c r="D26" s="836"/>
      <c r="E26" s="837"/>
      <c r="F26" s="836"/>
      <c r="G26" s="838"/>
      <c r="H26" s="799">
        <f t="shared" si="0"/>
        <v>0</v>
      </c>
      <c r="I26" s="829"/>
      <c r="J26" s="798"/>
      <c r="K26" s="829"/>
      <c r="L26" s="830">
        <f t="shared" si="1"/>
        <v>0</v>
      </c>
      <c r="M26" s="839"/>
      <c r="N26" s="839"/>
      <c r="O26" s="839"/>
      <c r="P26" s="839"/>
      <c r="Q26" s="839"/>
      <c r="R26" s="839"/>
      <c r="S26" s="839"/>
      <c r="T26" s="839"/>
      <c r="U26" s="839"/>
      <c r="V26" s="839"/>
      <c r="W26" s="839"/>
      <c r="X26" s="839"/>
      <c r="Y26" s="839"/>
      <c r="Z26" s="841">
        <f t="shared" si="3"/>
        <v>0</v>
      </c>
      <c r="AA26" s="829"/>
      <c r="AB26" s="829"/>
      <c r="AC26" s="842"/>
      <c r="AD26" s="843">
        <f t="shared" si="4"/>
        <v>0</v>
      </c>
      <c r="AE26" s="833"/>
      <c r="AF26" s="829"/>
      <c r="AG26" s="834"/>
      <c r="AH26" s="829"/>
      <c r="AI26" s="834"/>
      <c r="AL26" s="783"/>
    </row>
    <row r="27" spans="1:38" ht="15.75">
      <c r="A27" s="824">
        <f t="shared" si="5"/>
        <v>21</v>
      </c>
      <c r="B27" s="829"/>
      <c r="C27" s="829"/>
      <c r="D27" s="836"/>
      <c r="E27" s="837"/>
      <c r="F27" s="836"/>
      <c r="G27" s="838"/>
      <c r="H27" s="799">
        <f t="shared" si="0"/>
        <v>0</v>
      </c>
      <c r="I27" s="829"/>
      <c r="J27" s="798"/>
      <c r="K27" s="829"/>
      <c r="L27" s="830">
        <f t="shared" si="1"/>
        <v>0</v>
      </c>
      <c r="M27" s="839"/>
      <c r="N27" s="839"/>
      <c r="O27" s="839"/>
      <c r="P27" s="839"/>
      <c r="Q27" s="839"/>
      <c r="R27" s="839"/>
      <c r="S27" s="839"/>
      <c r="T27" s="839"/>
      <c r="U27" s="839"/>
      <c r="V27" s="839"/>
      <c r="W27" s="839"/>
      <c r="X27" s="839"/>
      <c r="Y27" s="839"/>
      <c r="Z27" s="841">
        <f t="shared" si="3"/>
        <v>0</v>
      </c>
      <c r="AA27" s="829"/>
      <c r="AB27" s="829"/>
      <c r="AC27" s="842"/>
      <c r="AD27" s="843">
        <f t="shared" si="4"/>
        <v>0</v>
      </c>
      <c r="AE27" s="833"/>
      <c r="AF27" s="829"/>
      <c r="AG27" s="834"/>
      <c r="AH27" s="829"/>
      <c r="AI27" s="834"/>
      <c r="AL27" s="783"/>
    </row>
    <row r="28" spans="1:38" ht="15.75">
      <c r="A28" s="824">
        <f t="shared" si="5"/>
        <v>22</v>
      </c>
      <c r="B28" s="829"/>
      <c r="C28" s="829"/>
      <c r="D28" s="836"/>
      <c r="E28" s="837"/>
      <c r="F28" s="836"/>
      <c r="G28" s="838"/>
      <c r="H28" s="799">
        <f t="shared" si="0"/>
        <v>0</v>
      </c>
      <c r="I28" s="829"/>
      <c r="J28" s="798"/>
      <c r="K28" s="829"/>
      <c r="L28" s="830">
        <f t="shared" si="1"/>
        <v>0</v>
      </c>
      <c r="M28" s="839"/>
      <c r="N28" s="839"/>
      <c r="O28" s="839"/>
      <c r="P28" s="839"/>
      <c r="Q28" s="839"/>
      <c r="R28" s="839"/>
      <c r="S28" s="839"/>
      <c r="T28" s="839"/>
      <c r="U28" s="839"/>
      <c r="V28" s="839"/>
      <c r="W28" s="839"/>
      <c r="X28" s="839"/>
      <c r="Y28" s="839"/>
      <c r="Z28" s="841">
        <f t="shared" si="3"/>
        <v>0</v>
      </c>
      <c r="AA28" s="829"/>
      <c r="AB28" s="829"/>
      <c r="AC28" s="842"/>
      <c r="AD28" s="843">
        <f t="shared" si="4"/>
        <v>0</v>
      </c>
      <c r="AE28" s="833"/>
      <c r="AF28" s="829"/>
      <c r="AG28" s="834"/>
      <c r="AH28" s="829"/>
      <c r="AI28" s="834"/>
      <c r="AL28" s="783"/>
    </row>
    <row r="29" spans="1:38" ht="15.75">
      <c r="A29" s="824">
        <f t="shared" si="5"/>
        <v>23</v>
      </c>
      <c r="B29" s="829"/>
      <c r="C29" s="829"/>
      <c r="D29" s="836"/>
      <c r="E29" s="837"/>
      <c r="F29" s="836"/>
      <c r="G29" s="838"/>
      <c r="H29" s="799">
        <f t="shared" si="0"/>
        <v>0</v>
      </c>
      <c r="I29" s="829"/>
      <c r="J29" s="798"/>
      <c r="K29" s="829"/>
      <c r="L29" s="830">
        <f t="shared" si="1"/>
        <v>0</v>
      </c>
      <c r="M29" s="839"/>
      <c r="N29" s="839"/>
      <c r="O29" s="839"/>
      <c r="P29" s="839"/>
      <c r="Q29" s="839"/>
      <c r="R29" s="839"/>
      <c r="S29" s="839"/>
      <c r="T29" s="839"/>
      <c r="U29" s="839"/>
      <c r="V29" s="839"/>
      <c r="W29" s="839"/>
      <c r="X29" s="839"/>
      <c r="Y29" s="839"/>
      <c r="Z29" s="841">
        <f t="shared" si="3"/>
        <v>0</v>
      </c>
      <c r="AA29" s="829"/>
      <c r="AB29" s="829"/>
      <c r="AC29" s="842"/>
      <c r="AD29" s="843">
        <f t="shared" si="4"/>
        <v>0</v>
      </c>
      <c r="AE29" s="833"/>
      <c r="AF29" s="829"/>
      <c r="AG29" s="834"/>
      <c r="AH29" s="829"/>
      <c r="AI29" s="834"/>
      <c r="AL29" s="783"/>
    </row>
    <row r="30" spans="1:38" ht="15.75">
      <c r="A30" s="824">
        <f t="shared" si="5"/>
        <v>24</v>
      </c>
      <c r="B30" s="829"/>
      <c r="C30" s="829"/>
      <c r="D30" s="836"/>
      <c r="E30" s="837"/>
      <c r="F30" s="836"/>
      <c r="G30" s="838"/>
      <c r="H30" s="799">
        <f t="shared" si="0"/>
        <v>0</v>
      </c>
      <c r="I30" s="829"/>
      <c r="J30" s="798"/>
      <c r="K30" s="829"/>
      <c r="L30" s="830">
        <f t="shared" si="1"/>
        <v>0</v>
      </c>
      <c r="M30" s="839"/>
      <c r="N30" s="839"/>
      <c r="O30" s="839"/>
      <c r="P30" s="839"/>
      <c r="Q30" s="839"/>
      <c r="R30" s="839"/>
      <c r="S30" s="839"/>
      <c r="T30" s="839"/>
      <c r="U30" s="839"/>
      <c r="V30" s="839"/>
      <c r="W30" s="839"/>
      <c r="X30" s="839"/>
      <c r="Y30" s="839"/>
      <c r="Z30" s="841">
        <f t="shared" si="3"/>
        <v>0</v>
      </c>
      <c r="AA30" s="829"/>
      <c r="AB30" s="829"/>
      <c r="AC30" s="842"/>
      <c r="AD30" s="843">
        <f t="shared" si="4"/>
        <v>0</v>
      </c>
      <c r="AE30" s="833"/>
      <c r="AF30" s="829"/>
      <c r="AG30" s="834"/>
      <c r="AH30" s="829"/>
      <c r="AI30" s="834"/>
      <c r="AL30" s="783"/>
    </row>
    <row r="31" spans="1:38" ht="15.75">
      <c r="A31" s="824">
        <f t="shared" si="5"/>
        <v>25</v>
      </c>
      <c r="B31" s="829"/>
      <c r="C31" s="829"/>
      <c r="D31" s="836"/>
      <c r="E31" s="837"/>
      <c r="F31" s="836"/>
      <c r="G31" s="838"/>
      <c r="H31" s="799">
        <f t="shared" si="0"/>
        <v>0</v>
      </c>
      <c r="I31" s="829"/>
      <c r="J31" s="798"/>
      <c r="K31" s="829"/>
      <c r="L31" s="830">
        <f t="shared" si="1"/>
        <v>0</v>
      </c>
      <c r="M31" s="839"/>
      <c r="N31" s="839"/>
      <c r="O31" s="839"/>
      <c r="P31" s="839"/>
      <c r="Q31" s="839"/>
      <c r="R31" s="839"/>
      <c r="S31" s="839"/>
      <c r="T31" s="839"/>
      <c r="U31" s="839"/>
      <c r="V31" s="839"/>
      <c r="W31" s="839"/>
      <c r="X31" s="839"/>
      <c r="Y31" s="839"/>
      <c r="Z31" s="841">
        <f t="shared" si="3"/>
        <v>0</v>
      </c>
      <c r="AA31" s="829"/>
      <c r="AB31" s="829"/>
      <c r="AC31" s="842"/>
      <c r="AD31" s="843">
        <f t="shared" si="4"/>
        <v>0</v>
      </c>
      <c r="AE31" s="833"/>
      <c r="AF31" s="829"/>
      <c r="AG31" s="834"/>
      <c r="AH31" s="829"/>
      <c r="AI31" s="834"/>
      <c r="AL31" s="783"/>
    </row>
    <row r="32" spans="1:38" ht="15.75">
      <c r="A32" s="824">
        <f t="shared" si="5"/>
        <v>26</v>
      </c>
      <c r="B32" s="829"/>
      <c r="C32" s="829"/>
      <c r="D32" s="836"/>
      <c r="E32" s="837"/>
      <c r="F32" s="836"/>
      <c r="G32" s="838"/>
      <c r="H32" s="799">
        <f t="shared" si="0"/>
        <v>0</v>
      </c>
      <c r="I32" s="829"/>
      <c r="J32" s="798"/>
      <c r="K32" s="829"/>
      <c r="L32" s="830">
        <f t="shared" si="1"/>
        <v>0</v>
      </c>
      <c r="M32" s="839"/>
      <c r="N32" s="839"/>
      <c r="O32" s="839"/>
      <c r="P32" s="839"/>
      <c r="Q32" s="839"/>
      <c r="R32" s="839"/>
      <c r="S32" s="839"/>
      <c r="T32" s="839"/>
      <c r="U32" s="839"/>
      <c r="V32" s="839"/>
      <c r="W32" s="839"/>
      <c r="X32" s="839"/>
      <c r="Y32" s="839"/>
      <c r="Z32" s="841">
        <f t="shared" si="3"/>
        <v>0</v>
      </c>
      <c r="AA32" s="829"/>
      <c r="AB32" s="829"/>
      <c r="AC32" s="842"/>
      <c r="AD32" s="843">
        <f t="shared" si="4"/>
        <v>0</v>
      </c>
      <c r="AE32" s="833"/>
      <c r="AF32" s="829"/>
      <c r="AG32" s="834"/>
      <c r="AH32" s="829"/>
      <c r="AI32" s="834"/>
      <c r="AL32" s="783"/>
    </row>
    <row r="33" spans="1:38" ht="15.75">
      <c r="A33" s="824">
        <f t="shared" si="5"/>
        <v>27</v>
      </c>
      <c r="B33" s="829"/>
      <c r="C33" s="829"/>
      <c r="D33" s="836"/>
      <c r="E33" s="837"/>
      <c r="F33" s="836"/>
      <c r="G33" s="838"/>
      <c r="H33" s="799">
        <f t="shared" si="0"/>
        <v>0</v>
      </c>
      <c r="I33" s="829"/>
      <c r="J33" s="798"/>
      <c r="K33" s="829"/>
      <c r="L33" s="830">
        <f t="shared" si="1"/>
        <v>0</v>
      </c>
      <c r="M33" s="839"/>
      <c r="N33" s="839"/>
      <c r="O33" s="839"/>
      <c r="P33" s="839"/>
      <c r="Q33" s="839"/>
      <c r="R33" s="839"/>
      <c r="S33" s="839"/>
      <c r="T33" s="839"/>
      <c r="U33" s="839"/>
      <c r="V33" s="839"/>
      <c r="W33" s="839"/>
      <c r="X33" s="839"/>
      <c r="Y33" s="839"/>
      <c r="Z33" s="841">
        <f t="shared" si="3"/>
        <v>0</v>
      </c>
      <c r="AA33" s="829"/>
      <c r="AB33" s="829"/>
      <c r="AC33" s="842"/>
      <c r="AD33" s="843">
        <f t="shared" si="4"/>
        <v>0</v>
      </c>
      <c r="AE33" s="833"/>
      <c r="AF33" s="829"/>
      <c r="AG33" s="834"/>
      <c r="AH33" s="829"/>
      <c r="AI33" s="834"/>
      <c r="AL33" s="783"/>
    </row>
    <row r="34" spans="1:38" ht="15.75">
      <c r="A34" s="824">
        <f t="shared" si="5"/>
        <v>28</v>
      </c>
      <c r="B34" s="829"/>
      <c r="C34" s="829"/>
      <c r="D34" s="836"/>
      <c r="E34" s="837"/>
      <c r="F34" s="836"/>
      <c r="G34" s="838"/>
      <c r="H34" s="799">
        <f t="shared" si="0"/>
        <v>0</v>
      </c>
      <c r="I34" s="829"/>
      <c r="J34" s="798"/>
      <c r="K34" s="829"/>
      <c r="L34" s="830">
        <f t="shared" si="1"/>
        <v>0</v>
      </c>
      <c r="M34" s="839"/>
      <c r="N34" s="839"/>
      <c r="O34" s="839"/>
      <c r="P34" s="839"/>
      <c r="Q34" s="839"/>
      <c r="R34" s="839"/>
      <c r="S34" s="839"/>
      <c r="T34" s="839"/>
      <c r="U34" s="839"/>
      <c r="V34" s="839"/>
      <c r="W34" s="839"/>
      <c r="X34" s="839"/>
      <c r="Y34" s="839"/>
      <c r="Z34" s="841">
        <f t="shared" si="3"/>
        <v>0</v>
      </c>
      <c r="AA34" s="829"/>
      <c r="AB34" s="829"/>
      <c r="AC34" s="842"/>
      <c r="AD34" s="843">
        <f t="shared" si="4"/>
        <v>0</v>
      </c>
      <c r="AE34" s="833"/>
      <c r="AF34" s="829"/>
      <c r="AG34" s="834"/>
      <c r="AH34" s="829"/>
      <c r="AI34" s="834"/>
      <c r="AL34" s="783"/>
    </row>
    <row r="35" spans="1:38" ht="15.75">
      <c r="A35" s="824">
        <f t="shared" si="5"/>
        <v>29</v>
      </c>
      <c r="B35" s="829"/>
      <c r="C35" s="829"/>
      <c r="D35" s="836"/>
      <c r="E35" s="837"/>
      <c r="F35" s="836"/>
      <c r="G35" s="838"/>
      <c r="H35" s="799">
        <f t="shared" si="0"/>
        <v>0</v>
      </c>
      <c r="I35" s="829"/>
      <c r="J35" s="798"/>
      <c r="K35" s="829"/>
      <c r="L35" s="830">
        <f t="shared" si="1"/>
        <v>0</v>
      </c>
      <c r="M35" s="839"/>
      <c r="N35" s="839"/>
      <c r="O35" s="839"/>
      <c r="P35" s="839"/>
      <c r="Q35" s="839"/>
      <c r="R35" s="839"/>
      <c r="S35" s="839"/>
      <c r="T35" s="839"/>
      <c r="U35" s="839"/>
      <c r="V35" s="839"/>
      <c r="W35" s="839"/>
      <c r="X35" s="839"/>
      <c r="Y35" s="839"/>
      <c r="Z35" s="841">
        <f t="shared" si="3"/>
        <v>0</v>
      </c>
      <c r="AA35" s="829"/>
      <c r="AB35" s="829"/>
      <c r="AC35" s="842"/>
      <c r="AD35" s="843">
        <f t="shared" si="4"/>
        <v>0</v>
      </c>
      <c r="AE35" s="833"/>
      <c r="AF35" s="829"/>
      <c r="AG35" s="834"/>
      <c r="AH35" s="829"/>
      <c r="AI35" s="834"/>
      <c r="AL35" s="783"/>
    </row>
    <row r="36" spans="1:38" ht="15.75">
      <c r="A36" s="824">
        <f t="shared" si="5"/>
        <v>30</v>
      </c>
      <c r="B36" s="829"/>
      <c r="C36" s="829"/>
      <c r="D36" s="836"/>
      <c r="E36" s="837"/>
      <c r="F36" s="836"/>
      <c r="G36" s="838"/>
      <c r="H36" s="799">
        <f t="shared" si="0"/>
        <v>0</v>
      </c>
      <c r="I36" s="829"/>
      <c r="J36" s="798"/>
      <c r="K36" s="829"/>
      <c r="L36" s="830">
        <f t="shared" si="1"/>
        <v>0</v>
      </c>
      <c r="M36" s="839"/>
      <c r="N36" s="839"/>
      <c r="O36" s="839"/>
      <c r="P36" s="839"/>
      <c r="Q36" s="839"/>
      <c r="R36" s="839"/>
      <c r="S36" s="839"/>
      <c r="T36" s="839"/>
      <c r="U36" s="839"/>
      <c r="V36" s="839"/>
      <c r="W36" s="839"/>
      <c r="X36" s="839"/>
      <c r="Y36" s="839"/>
      <c r="Z36" s="841">
        <f t="shared" si="3"/>
        <v>0</v>
      </c>
      <c r="AA36" s="829"/>
      <c r="AB36" s="829"/>
      <c r="AC36" s="842"/>
      <c r="AD36" s="843">
        <f t="shared" si="4"/>
        <v>0</v>
      </c>
      <c r="AE36" s="833"/>
      <c r="AF36" s="829"/>
      <c r="AG36" s="834"/>
      <c r="AH36" s="829"/>
      <c r="AI36" s="834"/>
      <c r="AL36" s="783"/>
    </row>
    <row r="37" spans="1:38" ht="15.75">
      <c r="A37" s="824">
        <f t="shared" si="5"/>
        <v>31</v>
      </c>
      <c r="B37" s="829"/>
      <c r="C37" s="829"/>
      <c r="D37" s="836"/>
      <c r="E37" s="837"/>
      <c r="F37" s="836"/>
      <c r="G37" s="838"/>
      <c r="H37" s="799">
        <f t="shared" si="0"/>
        <v>0</v>
      </c>
      <c r="I37" s="829"/>
      <c r="J37" s="798"/>
      <c r="K37" s="829"/>
      <c r="L37" s="830">
        <f t="shared" si="1"/>
        <v>0</v>
      </c>
      <c r="M37" s="839"/>
      <c r="N37" s="839"/>
      <c r="O37" s="839"/>
      <c r="P37" s="839"/>
      <c r="Q37" s="839"/>
      <c r="R37" s="839"/>
      <c r="S37" s="839"/>
      <c r="T37" s="839"/>
      <c r="U37" s="839"/>
      <c r="V37" s="839"/>
      <c r="W37" s="839"/>
      <c r="X37" s="839"/>
      <c r="Y37" s="839"/>
      <c r="Z37" s="841">
        <f t="shared" si="3"/>
        <v>0</v>
      </c>
      <c r="AA37" s="829"/>
      <c r="AB37" s="829"/>
      <c r="AC37" s="842"/>
      <c r="AD37" s="843">
        <f t="shared" si="4"/>
        <v>0</v>
      </c>
      <c r="AE37" s="833"/>
      <c r="AF37" s="829"/>
      <c r="AG37" s="834"/>
      <c r="AH37" s="829"/>
      <c r="AI37" s="834"/>
      <c r="AL37" s="783"/>
    </row>
    <row r="38" spans="1:38" ht="15.75">
      <c r="A38" s="824">
        <f t="shared" si="5"/>
        <v>32</v>
      </c>
      <c r="B38" s="829"/>
      <c r="C38" s="829"/>
      <c r="D38" s="836"/>
      <c r="E38" s="837"/>
      <c r="F38" s="836"/>
      <c r="G38" s="838"/>
      <c r="H38" s="799">
        <f t="shared" si="0"/>
        <v>0</v>
      </c>
      <c r="I38" s="829"/>
      <c r="J38" s="798"/>
      <c r="K38" s="829"/>
      <c r="L38" s="830">
        <f t="shared" si="1"/>
        <v>0</v>
      </c>
      <c r="M38" s="839"/>
      <c r="N38" s="839"/>
      <c r="O38" s="839"/>
      <c r="P38" s="839"/>
      <c r="Q38" s="839"/>
      <c r="R38" s="839"/>
      <c r="S38" s="839"/>
      <c r="T38" s="839"/>
      <c r="U38" s="839"/>
      <c r="V38" s="839"/>
      <c r="W38" s="839"/>
      <c r="X38" s="839"/>
      <c r="Y38" s="839"/>
      <c r="Z38" s="841">
        <f t="shared" si="3"/>
        <v>0</v>
      </c>
      <c r="AA38" s="829"/>
      <c r="AB38" s="829"/>
      <c r="AC38" s="842"/>
      <c r="AD38" s="843">
        <f t="shared" si="4"/>
        <v>0</v>
      </c>
      <c r="AE38" s="833"/>
      <c r="AF38" s="829"/>
      <c r="AG38" s="834"/>
      <c r="AH38" s="829"/>
      <c r="AI38" s="834"/>
      <c r="AL38" s="783"/>
    </row>
    <row r="39" spans="1:38" ht="15.75">
      <c r="A39" s="824">
        <f t="shared" si="5"/>
        <v>33</v>
      </c>
      <c r="B39" s="829"/>
      <c r="C39" s="829"/>
      <c r="D39" s="836"/>
      <c r="E39" s="837"/>
      <c r="F39" s="836"/>
      <c r="G39" s="838"/>
      <c r="H39" s="799">
        <f t="shared" si="0"/>
        <v>0</v>
      </c>
      <c r="I39" s="829"/>
      <c r="J39" s="798"/>
      <c r="K39" s="829"/>
      <c r="L39" s="830">
        <f t="shared" si="1"/>
        <v>0</v>
      </c>
      <c r="M39" s="839"/>
      <c r="N39" s="839"/>
      <c r="O39" s="839"/>
      <c r="P39" s="839"/>
      <c r="Q39" s="839"/>
      <c r="R39" s="839"/>
      <c r="S39" s="839"/>
      <c r="T39" s="839"/>
      <c r="U39" s="839"/>
      <c r="V39" s="839"/>
      <c r="W39" s="839"/>
      <c r="X39" s="839"/>
      <c r="Y39" s="839"/>
      <c r="Z39" s="841">
        <f t="shared" si="3"/>
        <v>0</v>
      </c>
      <c r="AA39" s="829"/>
      <c r="AB39" s="829"/>
      <c r="AC39" s="842"/>
      <c r="AD39" s="843">
        <f t="shared" si="4"/>
        <v>0</v>
      </c>
      <c r="AE39" s="833"/>
      <c r="AF39" s="829"/>
      <c r="AG39" s="834"/>
      <c r="AH39" s="829"/>
      <c r="AI39" s="834"/>
      <c r="AL39" s="783"/>
    </row>
    <row r="40" spans="1:38" ht="15.75">
      <c r="A40" s="824">
        <f t="shared" si="5"/>
        <v>34</v>
      </c>
      <c r="B40" s="829"/>
      <c r="C40" s="829"/>
      <c r="D40" s="836"/>
      <c r="E40" s="837"/>
      <c r="F40" s="836"/>
      <c r="G40" s="838"/>
      <c r="H40" s="799">
        <f t="shared" si="0"/>
        <v>0</v>
      </c>
      <c r="I40" s="829"/>
      <c r="J40" s="798"/>
      <c r="K40" s="829"/>
      <c r="L40" s="830">
        <f t="shared" si="1"/>
        <v>0</v>
      </c>
      <c r="M40" s="839"/>
      <c r="N40" s="839"/>
      <c r="O40" s="839"/>
      <c r="P40" s="839"/>
      <c r="Q40" s="839"/>
      <c r="R40" s="839"/>
      <c r="S40" s="839"/>
      <c r="T40" s="839"/>
      <c r="U40" s="839"/>
      <c r="V40" s="839"/>
      <c r="W40" s="839"/>
      <c r="X40" s="839"/>
      <c r="Y40" s="839"/>
      <c r="Z40" s="841">
        <f t="shared" si="3"/>
        <v>0</v>
      </c>
      <c r="AA40" s="829"/>
      <c r="AB40" s="829"/>
      <c r="AC40" s="842"/>
      <c r="AD40" s="843">
        <f t="shared" si="4"/>
        <v>0</v>
      </c>
      <c r="AE40" s="833"/>
      <c r="AF40" s="829"/>
      <c r="AG40" s="834"/>
      <c r="AH40" s="829"/>
      <c r="AI40" s="834"/>
      <c r="AL40" s="783"/>
    </row>
    <row r="41" spans="1:38" ht="15.75">
      <c r="A41" s="824">
        <f t="shared" si="5"/>
        <v>35</v>
      </c>
      <c r="B41" s="829"/>
      <c r="C41" s="829"/>
      <c r="D41" s="836"/>
      <c r="E41" s="837"/>
      <c r="F41" s="836"/>
      <c r="G41" s="838"/>
      <c r="H41" s="799">
        <f t="shared" si="0"/>
        <v>0</v>
      </c>
      <c r="I41" s="829"/>
      <c r="J41" s="798"/>
      <c r="K41" s="829"/>
      <c r="L41" s="830">
        <f t="shared" si="1"/>
        <v>0</v>
      </c>
      <c r="M41" s="839"/>
      <c r="N41" s="839"/>
      <c r="O41" s="839"/>
      <c r="P41" s="839"/>
      <c r="Q41" s="839"/>
      <c r="R41" s="839"/>
      <c r="S41" s="839"/>
      <c r="T41" s="839"/>
      <c r="U41" s="839"/>
      <c r="V41" s="839"/>
      <c r="W41" s="839"/>
      <c r="X41" s="839"/>
      <c r="Y41" s="839"/>
      <c r="Z41" s="841">
        <f t="shared" si="3"/>
        <v>0</v>
      </c>
      <c r="AA41" s="829"/>
      <c r="AB41" s="829"/>
      <c r="AC41" s="842"/>
      <c r="AD41" s="843">
        <f t="shared" si="4"/>
        <v>0</v>
      </c>
      <c r="AE41" s="833"/>
      <c r="AF41" s="829"/>
      <c r="AG41" s="834"/>
      <c r="AH41" s="829"/>
      <c r="AI41" s="834"/>
      <c r="AL41" s="783"/>
    </row>
    <row r="42" spans="1:38" ht="15.75">
      <c r="A42" s="824">
        <f t="shared" si="5"/>
        <v>36</v>
      </c>
      <c r="B42" s="829"/>
      <c r="C42" s="829"/>
      <c r="D42" s="836"/>
      <c r="E42" s="837"/>
      <c r="F42" s="836"/>
      <c r="G42" s="838"/>
      <c r="H42" s="799">
        <f t="shared" si="0"/>
        <v>0</v>
      </c>
      <c r="I42" s="829"/>
      <c r="J42" s="798"/>
      <c r="K42" s="829"/>
      <c r="L42" s="830">
        <f t="shared" si="1"/>
        <v>0</v>
      </c>
      <c r="M42" s="839"/>
      <c r="N42" s="839"/>
      <c r="O42" s="839"/>
      <c r="P42" s="839"/>
      <c r="Q42" s="839"/>
      <c r="R42" s="839"/>
      <c r="S42" s="839"/>
      <c r="T42" s="839"/>
      <c r="U42" s="839"/>
      <c r="V42" s="839"/>
      <c r="W42" s="839"/>
      <c r="X42" s="839"/>
      <c r="Y42" s="839"/>
      <c r="Z42" s="841">
        <f t="shared" si="3"/>
        <v>0</v>
      </c>
      <c r="AA42" s="829"/>
      <c r="AB42" s="829"/>
      <c r="AC42" s="842"/>
      <c r="AD42" s="843">
        <f t="shared" si="4"/>
        <v>0</v>
      </c>
      <c r="AE42" s="833"/>
      <c r="AF42" s="829"/>
      <c r="AG42" s="834"/>
      <c r="AH42" s="829"/>
      <c r="AI42" s="834"/>
      <c r="AL42" s="783"/>
    </row>
    <row r="43" spans="1:38" ht="15.75">
      <c r="A43" s="824">
        <f t="shared" si="5"/>
        <v>37</v>
      </c>
      <c r="B43" s="829"/>
      <c r="C43" s="829"/>
      <c r="D43" s="836"/>
      <c r="E43" s="837"/>
      <c r="F43" s="836"/>
      <c r="G43" s="838"/>
      <c r="H43" s="799">
        <f t="shared" si="0"/>
        <v>0</v>
      </c>
      <c r="I43" s="829"/>
      <c r="J43" s="798"/>
      <c r="K43" s="829"/>
      <c r="L43" s="830">
        <f t="shared" si="1"/>
        <v>0</v>
      </c>
      <c r="M43" s="839"/>
      <c r="N43" s="839"/>
      <c r="O43" s="839"/>
      <c r="P43" s="839"/>
      <c r="Q43" s="839"/>
      <c r="R43" s="839"/>
      <c r="S43" s="839"/>
      <c r="T43" s="839"/>
      <c r="U43" s="839"/>
      <c r="V43" s="839"/>
      <c r="W43" s="839"/>
      <c r="X43" s="839"/>
      <c r="Y43" s="839"/>
      <c r="Z43" s="841">
        <f t="shared" si="3"/>
        <v>0</v>
      </c>
      <c r="AA43" s="829"/>
      <c r="AB43" s="829"/>
      <c r="AC43" s="842"/>
      <c r="AD43" s="843">
        <f t="shared" si="4"/>
        <v>0</v>
      </c>
      <c r="AE43" s="833"/>
      <c r="AF43" s="829"/>
      <c r="AG43" s="834"/>
      <c r="AH43" s="829"/>
      <c r="AI43" s="834"/>
      <c r="AL43" s="783"/>
    </row>
    <row r="44" spans="1:38" ht="15.75">
      <c r="A44" s="824">
        <f t="shared" si="5"/>
        <v>38</v>
      </c>
      <c r="B44" s="829"/>
      <c r="C44" s="829"/>
      <c r="D44" s="836"/>
      <c r="E44" s="837"/>
      <c r="F44" s="836"/>
      <c r="G44" s="838"/>
      <c r="H44" s="799">
        <f t="shared" si="0"/>
        <v>0</v>
      </c>
      <c r="I44" s="829"/>
      <c r="J44" s="798"/>
      <c r="K44" s="829"/>
      <c r="L44" s="830">
        <f t="shared" si="1"/>
        <v>0</v>
      </c>
      <c r="M44" s="839"/>
      <c r="N44" s="839"/>
      <c r="O44" s="839"/>
      <c r="P44" s="839"/>
      <c r="Q44" s="839"/>
      <c r="R44" s="839"/>
      <c r="S44" s="839"/>
      <c r="T44" s="839"/>
      <c r="U44" s="839"/>
      <c r="V44" s="839"/>
      <c r="W44" s="839"/>
      <c r="X44" s="839"/>
      <c r="Y44" s="839"/>
      <c r="Z44" s="841">
        <f t="shared" si="3"/>
        <v>0</v>
      </c>
      <c r="AA44" s="829"/>
      <c r="AB44" s="829"/>
      <c r="AC44" s="842"/>
      <c r="AD44" s="843">
        <f t="shared" si="4"/>
        <v>0</v>
      </c>
      <c r="AE44" s="833"/>
      <c r="AF44" s="829"/>
      <c r="AG44" s="834"/>
      <c r="AH44" s="829"/>
      <c r="AI44" s="834"/>
      <c r="AL44" s="783"/>
    </row>
    <row r="45" spans="1:38" ht="15.75">
      <c r="A45" s="824">
        <f t="shared" si="5"/>
        <v>39</v>
      </c>
      <c r="B45" s="829"/>
      <c r="C45" s="829"/>
      <c r="D45" s="836"/>
      <c r="E45" s="837"/>
      <c r="F45" s="836"/>
      <c r="G45" s="838"/>
      <c r="H45" s="799">
        <f t="shared" si="0"/>
        <v>0</v>
      </c>
      <c r="I45" s="829"/>
      <c r="J45" s="798"/>
      <c r="K45" s="829"/>
      <c r="L45" s="830">
        <f t="shared" si="1"/>
        <v>0</v>
      </c>
      <c r="M45" s="839"/>
      <c r="N45" s="839"/>
      <c r="O45" s="839"/>
      <c r="P45" s="839"/>
      <c r="Q45" s="839"/>
      <c r="R45" s="839"/>
      <c r="S45" s="839"/>
      <c r="T45" s="839"/>
      <c r="U45" s="839"/>
      <c r="V45" s="839"/>
      <c r="W45" s="839"/>
      <c r="X45" s="839"/>
      <c r="Y45" s="839"/>
      <c r="Z45" s="841">
        <f t="shared" si="3"/>
        <v>0</v>
      </c>
      <c r="AA45" s="829"/>
      <c r="AB45" s="829"/>
      <c r="AC45" s="842"/>
      <c r="AD45" s="843">
        <f t="shared" si="4"/>
        <v>0</v>
      </c>
      <c r="AE45" s="833"/>
      <c r="AF45" s="829"/>
      <c r="AG45" s="834"/>
      <c r="AH45" s="829"/>
      <c r="AI45" s="834"/>
      <c r="AL45" s="783"/>
    </row>
    <row r="46" spans="1:38" ht="15.75">
      <c r="A46" s="824">
        <f t="shared" si="5"/>
        <v>40</v>
      </c>
      <c r="B46" s="829"/>
      <c r="C46" s="829"/>
      <c r="D46" s="836"/>
      <c r="E46" s="837"/>
      <c r="F46" s="836"/>
      <c r="G46" s="838"/>
      <c r="H46" s="799">
        <f t="shared" si="0"/>
        <v>0</v>
      </c>
      <c r="I46" s="829"/>
      <c r="J46" s="798"/>
      <c r="K46" s="829"/>
      <c r="L46" s="830">
        <f t="shared" si="1"/>
        <v>0</v>
      </c>
      <c r="M46" s="839"/>
      <c r="N46" s="839"/>
      <c r="O46" s="839"/>
      <c r="P46" s="839"/>
      <c r="Q46" s="839"/>
      <c r="R46" s="839"/>
      <c r="S46" s="839"/>
      <c r="T46" s="839"/>
      <c r="U46" s="839"/>
      <c r="V46" s="839"/>
      <c r="W46" s="839"/>
      <c r="X46" s="839"/>
      <c r="Y46" s="839"/>
      <c r="Z46" s="841">
        <f t="shared" si="3"/>
        <v>0</v>
      </c>
      <c r="AA46" s="829"/>
      <c r="AB46" s="829"/>
      <c r="AC46" s="842"/>
      <c r="AD46" s="843">
        <f t="shared" si="4"/>
        <v>0</v>
      </c>
      <c r="AE46" s="833"/>
      <c r="AF46" s="829"/>
      <c r="AG46" s="834"/>
      <c r="AH46" s="829"/>
      <c r="AI46" s="834"/>
      <c r="AL46" s="783"/>
    </row>
    <row r="47" spans="1:38" ht="15.75">
      <c r="A47" s="824">
        <f t="shared" si="5"/>
        <v>41</v>
      </c>
      <c r="B47" s="829"/>
      <c r="C47" s="829"/>
      <c r="D47" s="836"/>
      <c r="E47" s="837"/>
      <c r="F47" s="836"/>
      <c r="G47" s="838"/>
      <c r="H47" s="799">
        <f t="shared" si="0"/>
        <v>0</v>
      </c>
      <c r="I47" s="829"/>
      <c r="J47" s="798"/>
      <c r="K47" s="829"/>
      <c r="L47" s="830">
        <f t="shared" si="1"/>
        <v>0</v>
      </c>
      <c r="M47" s="839"/>
      <c r="N47" s="839"/>
      <c r="O47" s="839"/>
      <c r="P47" s="839"/>
      <c r="Q47" s="839"/>
      <c r="R47" s="839"/>
      <c r="S47" s="839"/>
      <c r="T47" s="839"/>
      <c r="U47" s="839"/>
      <c r="V47" s="839"/>
      <c r="W47" s="839"/>
      <c r="X47" s="839"/>
      <c r="Y47" s="839"/>
      <c r="Z47" s="841">
        <f t="shared" si="3"/>
        <v>0</v>
      </c>
      <c r="AA47" s="829"/>
      <c r="AB47" s="829"/>
      <c r="AC47" s="842"/>
      <c r="AD47" s="843">
        <f t="shared" si="4"/>
        <v>0</v>
      </c>
      <c r="AE47" s="833"/>
      <c r="AF47" s="829"/>
      <c r="AG47" s="834"/>
      <c r="AH47" s="829"/>
      <c r="AI47" s="834"/>
      <c r="AL47" s="783"/>
    </row>
    <row r="48" spans="1:38" ht="15.75">
      <c r="A48" s="824">
        <f t="shared" si="5"/>
        <v>42</v>
      </c>
      <c r="B48" s="829"/>
      <c r="C48" s="829"/>
      <c r="D48" s="836"/>
      <c r="E48" s="837"/>
      <c r="F48" s="836"/>
      <c r="G48" s="838"/>
      <c r="H48" s="799">
        <f t="shared" si="0"/>
        <v>0</v>
      </c>
      <c r="I48" s="829"/>
      <c r="J48" s="798"/>
      <c r="K48" s="829"/>
      <c r="L48" s="830">
        <f t="shared" si="1"/>
        <v>0</v>
      </c>
      <c r="M48" s="839"/>
      <c r="N48" s="839"/>
      <c r="O48" s="839"/>
      <c r="P48" s="839"/>
      <c r="Q48" s="839"/>
      <c r="R48" s="839"/>
      <c r="S48" s="839"/>
      <c r="T48" s="839"/>
      <c r="U48" s="839"/>
      <c r="V48" s="839"/>
      <c r="W48" s="839"/>
      <c r="X48" s="839"/>
      <c r="Y48" s="839"/>
      <c r="Z48" s="841">
        <f t="shared" si="3"/>
        <v>0</v>
      </c>
      <c r="AA48" s="829"/>
      <c r="AB48" s="829"/>
      <c r="AC48" s="842"/>
      <c r="AD48" s="843">
        <f t="shared" si="4"/>
        <v>0</v>
      </c>
      <c r="AE48" s="833"/>
      <c r="AF48" s="829"/>
      <c r="AG48" s="834"/>
      <c r="AH48" s="829"/>
      <c r="AI48" s="834"/>
      <c r="AL48" s="783"/>
    </row>
    <row r="49" spans="1:38" ht="15.75">
      <c r="A49" s="824">
        <f t="shared" si="5"/>
        <v>43</v>
      </c>
      <c r="B49" s="829"/>
      <c r="C49" s="829"/>
      <c r="D49" s="836"/>
      <c r="E49" s="837"/>
      <c r="F49" s="836"/>
      <c r="G49" s="838"/>
      <c r="H49" s="799">
        <f t="shared" si="0"/>
        <v>0</v>
      </c>
      <c r="I49" s="829"/>
      <c r="J49" s="798"/>
      <c r="K49" s="829"/>
      <c r="L49" s="830">
        <f t="shared" si="1"/>
        <v>0</v>
      </c>
      <c r="M49" s="839"/>
      <c r="N49" s="839"/>
      <c r="O49" s="839"/>
      <c r="P49" s="839"/>
      <c r="Q49" s="839"/>
      <c r="R49" s="839"/>
      <c r="S49" s="839"/>
      <c r="T49" s="839"/>
      <c r="U49" s="839"/>
      <c r="V49" s="839"/>
      <c r="W49" s="839"/>
      <c r="X49" s="839"/>
      <c r="Y49" s="839"/>
      <c r="Z49" s="841">
        <f t="shared" si="3"/>
        <v>0</v>
      </c>
      <c r="AA49" s="829"/>
      <c r="AB49" s="829"/>
      <c r="AC49" s="842"/>
      <c r="AD49" s="843">
        <f t="shared" si="4"/>
        <v>0</v>
      </c>
      <c r="AE49" s="833"/>
      <c r="AF49" s="829"/>
      <c r="AG49" s="834"/>
      <c r="AH49" s="829"/>
      <c r="AI49" s="834"/>
      <c r="AL49" s="783"/>
    </row>
    <row r="50" spans="1:38" ht="15.75">
      <c r="A50" s="824">
        <f t="shared" si="5"/>
        <v>44</v>
      </c>
      <c r="B50" s="829"/>
      <c r="C50" s="829"/>
      <c r="D50" s="836"/>
      <c r="E50" s="837"/>
      <c r="F50" s="836"/>
      <c r="G50" s="838"/>
      <c r="H50" s="799">
        <f t="shared" si="0"/>
        <v>0</v>
      </c>
      <c r="I50" s="829"/>
      <c r="J50" s="798"/>
      <c r="K50" s="829"/>
      <c r="L50" s="830">
        <f t="shared" si="1"/>
        <v>0</v>
      </c>
      <c r="M50" s="839"/>
      <c r="N50" s="839"/>
      <c r="O50" s="839"/>
      <c r="P50" s="839"/>
      <c r="Q50" s="839"/>
      <c r="R50" s="839"/>
      <c r="S50" s="839"/>
      <c r="T50" s="839"/>
      <c r="U50" s="839"/>
      <c r="V50" s="839"/>
      <c r="W50" s="839"/>
      <c r="X50" s="839"/>
      <c r="Y50" s="839"/>
      <c r="Z50" s="841">
        <f t="shared" si="3"/>
        <v>0</v>
      </c>
      <c r="AA50" s="829"/>
      <c r="AB50" s="829"/>
      <c r="AC50" s="842"/>
      <c r="AD50" s="843">
        <f t="shared" si="4"/>
        <v>0</v>
      </c>
      <c r="AE50" s="833"/>
      <c r="AF50" s="829"/>
      <c r="AG50" s="834"/>
      <c r="AH50" s="829"/>
      <c r="AI50" s="834"/>
      <c r="AL50" s="783"/>
    </row>
    <row r="51" spans="1:38" ht="15.75">
      <c r="A51" s="824">
        <f t="shared" si="5"/>
        <v>45</v>
      </c>
      <c r="B51" s="829"/>
      <c r="C51" s="829"/>
      <c r="D51" s="836"/>
      <c r="E51" s="837"/>
      <c r="F51" s="836"/>
      <c r="G51" s="838"/>
      <c r="H51" s="799">
        <f t="shared" si="0"/>
        <v>0</v>
      </c>
      <c r="I51" s="829"/>
      <c r="J51" s="798"/>
      <c r="K51" s="829"/>
      <c r="L51" s="830">
        <f t="shared" si="1"/>
        <v>0</v>
      </c>
      <c r="M51" s="839"/>
      <c r="N51" s="839"/>
      <c r="O51" s="839"/>
      <c r="P51" s="839"/>
      <c r="Q51" s="839"/>
      <c r="R51" s="839"/>
      <c r="S51" s="839"/>
      <c r="T51" s="839"/>
      <c r="U51" s="839"/>
      <c r="V51" s="839"/>
      <c r="W51" s="839"/>
      <c r="X51" s="839"/>
      <c r="Y51" s="839"/>
      <c r="Z51" s="841">
        <f t="shared" si="3"/>
        <v>0</v>
      </c>
      <c r="AA51" s="829"/>
      <c r="AB51" s="829"/>
      <c r="AC51" s="842"/>
      <c r="AD51" s="843">
        <f t="shared" si="4"/>
        <v>0</v>
      </c>
      <c r="AE51" s="833"/>
      <c r="AF51" s="829"/>
      <c r="AG51" s="834"/>
      <c r="AH51" s="829"/>
      <c r="AI51" s="834"/>
      <c r="AL51" s="783"/>
    </row>
    <row r="52" spans="1:38" ht="15.75">
      <c r="A52" s="824">
        <f t="shared" si="5"/>
        <v>46</v>
      </c>
      <c r="B52" s="829"/>
      <c r="C52" s="829"/>
      <c r="D52" s="836"/>
      <c r="E52" s="837"/>
      <c r="F52" s="836"/>
      <c r="G52" s="838"/>
      <c r="H52" s="799">
        <f t="shared" si="0"/>
        <v>0</v>
      </c>
      <c r="I52" s="829"/>
      <c r="J52" s="798"/>
      <c r="K52" s="829"/>
      <c r="L52" s="830">
        <f t="shared" si="1"/>
        <v>0</v>
      </c>
      <c r="M52" s="839"/>
      <c r="N52" s="839"/>
      <c r="O52" s="839"/>
      <c r="P52" s="839"/>
      <c r="Q52" s="839"/>
      <c r="R52" s="839"/>
      <c r="S52" s="839"/>
      <c r="T52" s="839"/>
      <c r="U52" s="839"/>
      <c r="V52" s="839"/>
      <c r="W52" s="839"/>
      <c r="X52" s="839"/>
      <c r="Y52" s="839"/>
      <c r="Z52" s="841">
        <f t="shared" si="3"/>
        <v>0</v>
      </c>
      <c r="AA52" s="829"/>
      <c r="AB52" s="829"/>
      <c r="AC52" s="842"/>
      <c r="AD52" s="843">
        <f t="shared" si="4"/>
        <v>0</v>
      </c>
      <c r="AE52" s="833"/>
      <c r="AF52" s="829"/>
      <c r="AG52" s="834"/>
      <c r="AH52" s="829"/>
      <c r="AI52" s="834"/>
      <c r="AL52" s="783"/>
    </row>
    <row r="53" spans="1:38" ht="15.75">
      <c r="A53" s="824">
        <f t="shared" si="5"/>
        <v>47</v>
      </c>
      <c r="B53" s="829"/>
      <c r="C53" s="829"/>
      <c r="D53" s="836"/>
      <c r="E53" s="837"/>
      <c r="F53" s="836"/>
      <c r="G53" s="838"/>
      <c r="H53" s="799">
        <f t="shared" si="0"/>
        <v>0</v>
      </c>
      <c r="I53" s="829"/>
      <c r="J53" s="798"/>
      <c r="K53" s="829"/>
      <c r="L53" s="830">
        <f t="shared" si="1"/>
        <v>0</v>
      </c>
      <c r="M53" s="839"/>
      <c r="N53" s="839"/>
      <c r="O53" s="839"/>
      <c r="P53" s="839"/>
      <c r="Q53" s="839"/>
      <c r="R53" s="839"/>
      <c r="S53" s="839"/>
      <c r="T53" s="839"/>
      <c r="U53" s="839"/>
      <c r="V53" s="839"/>
      <c r="W53" s="839"/>
      <c r="X53" s="839"/>
      <c r="Y53" s="839"/>
      <c r="Z53" s="841">
        <f t="shared" si="3"/>
        <v>0</v>
      </c>
      <c r="AA53" s="829"/>
      <c r="AB53" s="829"/>
      <c r="AC53" s="842"/>
      <c r="AD53" s="843">
        <f t="shared" si="4"/>
        <v>0</v>
      </c>
      <c r="AE53" s="833"/>
      <c r="AF53" s="829"/>
      <c r="AG53" s="834"/>
      <c r="AH53" s="829"/>
      <c r="AI53" s="834"/>
      <c r="AL53" s="783"/>
    </row>
    <row r="54" spans="1:38" ht="15.75">
      <c r="A54" s="824">
        <f t="shared" si="5"/>
        <v>48</v>
      </c>
      <c r="B54" s="829"/>
      <c r="C54" s="829"/>
      <c r="D54" s="836"/>
      <c r="E54" s="837"/>
      <c r="F54" s="836"/>
      <c r="G54" s="838"/>
      <c r="H54" s="799">
        <f t="shared" si="0"/>
        <v>0</v>
      </c>
      <c r="I54" s="829"/>
      <c r="J54" s="798"/>
      <c r="K54" s="829"/>
      <c r="L54" s="830">
        <f t="shared" si="1"/>
        <v>0</v>
      </c>
      <c r="M54" s="839"/>
      <c r="N54" s="839"/>
      <c r="O54" s="839"/>
      <c r="P54" s="839"/>
      <c r="Q54" s="839"/>
      <c r="R54" s="839"/>
      <c r="S54" s="839"/>
      <c r="T54" s="839"/>
      <c r="U54" s="839"/>
      <c r="V54" s="839"/>
      <c r="W54" s="839"/>
      <c r="X54" s="839"/>
      <c r="Y54" s="839"/>
      <c r="Z54" s="841">
        <f t="shared" si="3"/>
        <v>0</v>
      </c>
      <c r="AA54" s="829"/>
      <c r="AB54" s="829"/>
      <c r="AC54" s="842"/>
      <c r="AD54" s="843">
        <f t="shared" si="4"/>
        <v>0</v>
      </c>
      <c r="AE54" s="833"/>
      <c r="AF54" s="829"/>
      <c r="AG54" s="834"/>
      <c r="AH54" s="829"/>
      <c r="AI54" s="834"/>
      <c r="AL54" s="783"/>
    </row>
    <row r="55" spans="1:38" ht="15.75">
      <c r="A55" s="824">
        <f t="shared" si="5"/>
        <v>49</v>
      </c>
      <c r="B55" s="829"/>
      <c r="C55" s="829"/>
      <c r="D55" s="836"/>
      <c r="E55" s="837"/>
      <c r="F55" s="836"/>
      <c r="G55" s="838"/>
      <c r="H55" s="799">
        <f t="shared" si="0"/>
        <v>0</v>
      </c>
      <c r="I55" s="829"/>
      <c r="J55" s="798"/>
      <c r="K55" s="829"/>
      <c r="L55" s="830">
        <f t="shared" si="1"/>
        <v>0</v>
      </c>
      <c r="M55" s="839"/>
      <c r="N55" s="839"/>
      <c r="O55" s="839"/>
      <c r="P55" s="839"/>
      <c r="Q55" s="839"/>
      <c r="R55" s="839"/>
      <c r="S55" s="839"/>
      <c r="T55" s="839"/>
      <c r="U55" s="839"/>
      <c r="V55" s="839"/>
      <c r="W55" s="839"/>
      <c r="X55" s="839"/>
      <c r="Y55" s="839"/>
      <c r="Z55" s="841">
        <f t="shared" si="3"/>
        <v>0</v>
      </c>
      <c r="AA55" s="829"/>
      <c r="AB55" s="829"/>
      <c r="AC55" s="842"/>
      <c r="AD55" s="843">
        <f t="shared" si="4"/>
        <v>0</v>
      </c>
      <c r="AE55" s="833"/>
      <c r="AF55" s="829"/>
      <c r="AG55" s="834"/>
      <c r="AH55" s="829"/>
      <c r="AI55" s="834"/>
      <c r="AL55" s="783"/>
    </row>
    <row r="56" spans="1:38" ht="15.75">
      <c r="A56" s="824">
        <f t="shared" si="5"/>
        <v>50</v>
      </c>
      <c r="B56" s="829"/>
      <c r="C56" s="829"/>
      <c r="D56" s="836"/>
      <c r="E56" s="844"/>
      <c r="F56" s="845"/>
      <c r="G56" s="846"/>
      <c r="H56" s="801">
        <f t="shared" si="0"/>
        <v>0</v>
      </c>
      <c r="I56" s="847"/>
      <c r="J56" s="802"/>
      <c r="K56" s="847"/>
      <c r="L56" s="830">
        <f t="shared" si="1"/>
        <v>0</v>
      </c>
      <c r="M56" s="848"/>
      <c r="N56" s="848"/>
      <c r="O56" s="848"/>
      <c r="P56" s="848"/>
      <c r="Q56" s="848"/>
      <c r="R56" s="848"/>
      <c r="S56" s="848"/>
      <c r="T56" s="848"/>
      <c r="U56" s="848"/>
      <c r="V56" s="848"/>
      <c r="W56" s="848"/>
      <c r="X56" s="848"/>
      <c r="Y56" s="848"/>
      <c r="Z56" s="849">
        <f t="shared" si="3"/>
        <v>0</v>
      </c>
      <c r="AA56" s="847"/>
      <c r="AB56" s="847"/>
      <c r="AC56" s="850"/>
      <c r="AD56" s="851">
        <f t="shared" si="4"/>
        <v>0</v>
      </c>
      <c r="AE56" s="833"/>
      <c r="AF56" s="847"/>
      <c r="AG56" s="852"/>
      <c r="AH56" s="853"/>
      <c r="AI56" s="854"/>
      <c r="AL56" s="783"/>
    </row>
    <row r="57" spans="1:38" ht="15" customHeight="1">
      <c r="A57" s="855">
        <v>51</v>
      </c>
      <c r="B57" s="856" t="s">
        <v>923</v>
      </c>
      <c r="C57" s="856"/>
      <c r="D57" s="856"/>
      <c r="E57" s="856"/>
      <c r="F57" s="856"/>
      <c r="G57" s="856"/>
      <c r="H57" s="856"/>
      <c r="I57" s="856"/>
      <c r="J57" s="856"/>
      <c r="K57" s="856"/>
      <c r="L57" s="857">
        <f>SUM(L7:L56)</f>
        <v>2033513.28</v>
      </c>
      <c r="M57" s="779"/>
      <c r="N57" s="779"/>
      <c r="O57" s="858" t="s">
        <v>924</v>
      </c>
      <c r="P57" s="858"/>
      <c r="Q57" s="858"/>
      <c r="R57" s="858"/>
      <c r="S57" s="858"/>
      <c r="T57" s="858"/>
      <c r="U57" s="858"/>
      <c r="V57" s="858"/>
      <c r="W57" s="858"/>
      <c r="X57" s="779"/>
      <c r="Y57" s="779"/>
      <c r="Z57" s="859" t="s">
        <v>925</v>
      </c>
      <c r="AA57" s="859"/>
      <c r="AB57" s="859"/>
      <c r="AC57" s="859"/>
      <c r="AD57" s="860">
        <f>SUM(AD7:AD56)</f>
        <v>3050269.9199999901</v>
      </c>
      <c r="AE57" s="804"/>
      <c r="AF57" s="861"/>
      <c r="AG57" s="816"/>
      <c r="AH57" s="779"/>
      <c r="AI57" s="779"/>
      <c r="AL57" s="783"/>
    </row>
    <row r="58" spans="1:38" ht="15.75">
      <c r="A58" s="779"/>
      <c r="B58" s="779"/>
      <c r="C58" s="779"/>
      <c r="D58" s="781"/>
      <c r="E58" s="784"/>
      <c r="F58" s="815"/>
      <c r="G58" s="806"/>
      <c r="H58" s="781"/>
      <c r="I58" s="806"/>
      <c r="J58" s="779"/>
      <c r="K58" s="779"/>
      <c r="L58" s="781"/>
      <c r="M58" s="779"/>
      <c r="N58" s="779"/>
      <c r="O58" s="779"/>
      <c r="P58" s="779"/>
      <c r="Q58" s="779"/>
      <c r="R58" s="779"/>
      <c r="S58" s="779"/>
      <c r="T58" s="779"/>
      <c r="U58" s="779"/>
      <c r="V58" s="779"/>
      <c r="W58" s="779"/>
      <c r="X58" s="779"/>
      <c r="Y58" s="779"/>
      <c r="Z58" s="779"/>
      <c r="AA58" s="779"/>
      <c r="AB58" s="815"/>
      <c r="AC58" s="779"/>
      <c r="AD58" s="779"/>
      <c r="AE58" s="779"/>
      <c r="AF58" s="779"/>
      <c r="AG58" s="779"/>
      <c r="AH58" s="779"/>
      <c r="AI58" s="779"/>
      <c r="AJ58" s="816"/>
    </row>
    <row r="59" spans="1:38" ht="15.75">
      <c r="A59" s="779"/>
      <c r="B59" s="779"/>
      <c r="C59" s="779" t="s">
        <v>926</v>
      </c>
      <c r="D59" s="781"/>
      <c r="E59" s="784"/>
      <c r="F59" s="815"/>
      <c r="G59" s="806"/>
      <c r="H59" s="781"/>
      <c r="I59" s="806"/>
      <c r="J59" s="779"/>
      <c r="K59" s="779"/>
      <c r="L59" s="781"/>
      <c r="M59" s="858"/>
      <c r="N59" s="858"/>
      <c r="O59" s="858"/>
      <c r="P59" s="779"/>
      <c r="Q59" s="779"/>
      <c r="R59" s="779"/>
      <c r="S59" s="779"/>
      <c r="T59" s="779"/>
      <c r="U59" s="779"/>
      <c r="V59" s="779"/>
      <c r="W59" s="779"/>
      <c r="X59" s="779"/>
      <c r="Y59" s="858"/>
      <c r="Z59" s="779"/>
      <c r="AA59" s="779" t="s">
        <v>927</v>
      </c>
      <c r="AD59" s="816"/>
      <c r="AE59" s="779"/>
      <c r="AF59" s="779"/>
      <c r="AG59" s="779"/>
      <c r="AH59" s="779"/>
      <c r="AI59" s="779"/>
      <c r="AJ59" s="779"/>
      <c r="AL59" s="783"/>
    </row>
    <row r="60" spans="1:38" ht="21.2" customHeight="1">
      <c r="A60" s="780"/>
      <c r="B60" s="809" t="s">
        <v>47</v>
      </c>
      <c r="C60" s="1098" t="s">
        <v>928</v>
      </c>
      <c r="D60" s="1098"/>
      <c r="E60" s="1098"/>
      <c r="F60" s="1098"/>
      <c r="G60" s="1098"/>
      <c r="H60" s="1098"/>
      <c r="I60" s="1098"/>
      <c r="J60" s="1098"/>
      <c r="K60" s="1098"/>
      <c r="L60" s="1098"/>
      <c r="M60" s="864"/>
      <c r="N60" s="864"/>
      <c r="O60" s="864"/>
      <c r="P60" s="863"/>
      <c r="Q60" s="863"/>
      <c r="R60" s="863"/>
      <c r="S60" s="863"/>
      <c r="T60" s="863"/>
      <c r="U60" s="863"/>
      <c r="V60" s="863"/>
      <c r="W60" s="863"/>
      <c r="X60" s="863"/>
      <c r="Y60" s="863"/>
      <c r="Z60" s="865" t="s">
        <v>48</v>
      </c>
      <c r="AA60" s="866" t="s">
        <v>929</v>
      </c>
      <c r="AD60" s="807"/>
      <c r="AE60" s="863"/>
      <c r="AF60" s="863"/>
      <c r="AG60" s="863"/>
      <c r="AH60" s="863"/>
      <c r="AI60" s="863"/>
      <c r="AJ60" s="779"/>
      <c r="AL60" s="783"/>
    </row>
    <row r="61" spans="1:38" ht="27" customHeight="1">
      <c r="A61" s="780"/>
      <c r="B61" s="809"/>
      <c r="C61" s="1098"/>
      <c r="D61" s="1098"/>
      <c r="E61" s="1098"/>
      <c r="F61" s="1098"/>
      <c r="G61" s="1098"/>
      <c r="H61" s="1098"/>
      <c r="I61" s="1098"/>
      <c r="J61" s="1098"/>
      <c r="K61" s="1098"/>
      <c r="L61" s="1098"/>
      <c r="M61" s="863"/>
      <c r="N61" s="863"/>
      <c r="O61" s="863"/>
      <c r="P61" s="863"/>
      <c r="Q61" s="863"/>
      <c r="R61" s="863"/>
      <c r="S61" s="863"/>
      <c r="T61" s="863"/>
      <c r="U61" s="863"/>
      <c r="V61" s="863"/>
      <c r="W61" s="863"/>
      <c r="X61" s="863"/>
      <c r="Y61" s="863"/>
      <c r="Z61" s="779"/>
      <c r="AA61" s="779"/>
      <c r="AB61" s="865"/>
      <c r="AC61" s="779"/>
      <c r="AD61" s="807"/>
      <c r="AE61" s="779"/>
      <c r="AF61" s="779"/>
      <c r="AG61" s="863"/>
      <c r="AH61" s="863"/>
      <c r="AI61" s="863"/>
      <c r="AJ61" s="779"/>
      <c r="AL61" s="783"/>
    </row>
    <row r="62" spans="1:38" ht="11.25" customHeight="1">
      <c r="A62" s="780"/>
      <c r="B62" s="780"/>
      <c r="C62" s="867"/>
      <c r="D62" s="867"/>
      <c r="E62" s="867"/>
      <c r="F62" s="867"/>
      <c r="G62" s="867"/>
      <c r="H62" s="867"/>
      <c r="I62" s="867"/>
      <c r="J62" s="867"/>
      <c r="K62" s="868"/>
      <c r="L62" s="868"/>
      <c r="M62" s="779"/>
      <c r="N62" s="779"/>
      <c r="O62" s="779"/>
      <c r="P62" s="779"/>
      <c r="Q62" s="779"/>
      <c r="R62" s="779"/>
      <c r="S62" s="779"/>
      <c r="T62" s="779"/>
      <c r="U62" s="779"/>
      <c r="V62" s="779"/>
      <c r="W62" s="779"/>
      <c r="X62" s="779"/>
      <c r="Y62" s="779"/>
      <c r="Z62" s="779"/>
      <c r="AA62" s="779"/>
      <c r="AB62" s="867"/>
      <c r="AC62" s="779"/>
      <c r="AD62" s="779"/>
      <c r="AE62" s="779"/>
      <c r="AF62" s="779"/>
      <c r="AG62" s="779"/>
      <c r="AH62" s="779"/>
      <c r="AI62" s="779"/>
      <c r="AJ62" s="779"/>
      <c r="AL62" s="783"/>
    </row>
    <row r="63" spans="1:38" ht="15.75">
      <c r="A63" s="780"/>
      <c r="B63" s="780"/>
      <c r="C63" s="867"/>
      <c r="D63" s="867"/>
      <c r="E63" s="867"/>
      <c r="F63" s="867"/>
      <c r="G63" s="867"/>
      <c r="H63" s="867"/>
      <c r="I63" s="867"/>
      <c r="J63" s="867"/>
      <c r="K63" s="868"/>
      <c r="L63" s="868"/>
      <c r="M63" s="779"/>
      <c r="N63" s="779"/>
      <c r="O63" s="779"/>
      <c r="P63" s="779"/>
      <c r="Q63" s="779"/>
      <c r="R63" s="779"/>
      <c r="S63" s="779"/>
      <c r="T63" s="779"/>
      <c r="U63" s="779"/>
      <c r="V63" s="779"/>
      <c r="W63" s="779"/>
      <c r="X63" s="779"/>
      <c r="Y63" s="779"/>
      <c r="Z63" s="779"/>
      <c r="AA63" s="779"/>
      <c r="AB63" s="779"/>
      <c r="AC63" s="779"/>
      <c r="AD63" s="779"/>
      <c r="AE63" s="779"/>
      <c r="AF63" s="779"/>
      <c r="AG63" s="779"/>
      <c r="AH63" s="779"/>
      <c r="AI63" s="779"/>
      <c r="AJ63" s="779"/>
      <c r="AL63" s="783"/>
    </row>
    <row r="64" spans="1:38" ht="15.75">
      <c r="A64" s="1090"/>
      <c r="B64" s="1090"/>
      <c r="C64" s="1090"/>
      <c r="D64" s="1090"/>
      <c r="E64" s="1090"/>
      <c r="F64" s="1090"/>
      <c r="G64" s="1090"/>
      <c r="H64" s="1090"/>
      <c r="I64" s="1090"/>
      <c r="J64" s="1090"/>
      <c r="K64" s="1090"/>
      <c r="L64" s="1090"/>
      <c r="M64" s="1090"/>
      <c r="N64" s="1090"/>
      <c r="O64" s="1090"/>
      <c r="P64" s="1090"/>
      <c r="Q64" s="1090"/>
      <c r="R64" s="1090"/>
      <c r="S64" s="1090"/>
      <c r="T64" s="1090"/>
      <c r="U64" s="1090"/>
      <c r="V64" s="1090"/>
      <c r="W64" s="1090"/>
      <c r="X64" s="1090"/>
      <c r="Y64" s="1090"/>
      <c r="Z64" s="1090"/>
      <c r="AA64" s="1090"/>
      <c r="AB64" s="1090"/>
      <c r="AC64" s="1090"/>
      <c r="AD64" s="1090"/>
      <c r="AE64" s="1090"/>
      <c r="AF64" s="1090"/>
      <c r="AG64" s="1090"/>
      <c r="AH64" s="1090"/>
      <c r="AI64" s="1090"/>
      <c r="AJ64" s="1090"/>
      <c r="AL64" s="783"/>
    </row>
    <row r="65" spans="1:38" ht="15.75">
      <c r="A65" s="1013"/>
      <c r="B65" s="1013"/>
      <c r="C65" s="1013"/>
      <c r="D65" s="1013"/>
      <c r="E65" s="1013"/>
      <c r="F65" s="1013"/>
      <c r="G65" s="1013"/>
      <c r="H65" s="1013"/>
      <c r="I65" s="1013"/>
      <c r="J65" s="1013"/>
      <c r="K65" s="1013"/>
      <c r="L65" s="1013"/>
      <c r="M65" s="869" t="s">
        <v>930</v>
      </c>
      <c r="N65" s="869"/>
      <c r="O65" s="869"/>
      <c r="P65" s="869"/>
      <c r="Q65" s="869"/>
      <c r="R65" s="869"/>
      <c r="S65" s="869"/>
      <c r="T65" s="869"/>
      <c r="U65" s="869"/>
      <c r="V65" s="869"/>
      <c r="W65" s="869"/>
      <c r="X65" s="869"/>
      <c r="Y65" s="869"/>
      <c r="Z65" s="869" t="str">
        <f>+M65</f>
        <v>Abandoned Plant</v>
      </c>
      <c r="AA65" s="869"/>
      <c r="AB65" s="869"/>
      <c r="AC65" s="869"/>
      <c r="AD65" s="869"/>
      <c r="AE65" s="869"/>
      <c r="AF65" s="869"/>
      <c r="AG65" s="869"/>
      <c r="AH65" s="869"/>
      <c r="AI65" s="869"/>
      <c r="AJ65" s="869"/>
      <c r="AL65" s="783"/>
    </row>
    <row r="66" spans="1:38" ht="15.75">
      <c r="A66" s="814" t="s">
        <v>930</v>
      </c>
      <c r="B66" s="779"/>
      <c r="C66" s="779"/>
      <c r="D66" s="781"/>
      <c r="E66" s="784"/>
      <c r="F66" s="815"/>
      <c r="G66" s="806"/>
      <c r="H66" s="781"/>
      <c r="I66" s="806"/>
      <c r="J66" s="784"/>
      <c r="K66" s="779"/>
      <c r="L66" s="781"/>
      <c r="M66" s="779"/>
      <c r="N66" s="779"/>
      <c r="O66" s="779"/>
      <c r="P66" s="779"/>
      <c r="Q66" s="779"/>
      <c r="R66" s="779"/>
      <c r="S66" s="779"/>
      <c r="T66" s="779"/>
      <c r="U66" s="779"/>
      <c r="V66" s="779"/>
      <c r="W66" s="779"/>
      <c r="X66" s="779"/>
      <c r="Y66" s="779"/>
      <c r="Z66" s="779"/>
      <c r="AA66" s="779"/>
      <c r="AB66" s="815"/>
      <c r="AC66" s="779"/>
      <c r="AD66" s="779"/>
      <c r="AE66" s="779"/>
      <c r="AF66" s="779"/>
      <c r="AG66" s="779"/>
      <c r="AH66" s="779"/>
      <c r="AI66" s="779"/>
      <c r="AJ66" s="816"/>
      <c r="AL66" s="783"/>
    </row>
    <row r="67" spans="1:38" ht="15.75">
      <c r="A67" s="817"/>
      <c r="B67" s="817"/>
      <c r="C67" s="817" t="s">
        <v>188</v>
      </c>
      <c r="D67" s="818" t="s">
        <v>523</v>
      </c>
      <c r="E67" s="817"/>
      <c r="F67" s="819" t="s">
        <v>882</v>
      </c>
      <c r="G67" s="818"/>
      <c r="H67" s="818" t="s">
        <v>525</v>
      </c>
      <c r="I67" s="818"/>
      <c r="J67" s="817" t="s">
        <v>883</v>
      </c>
      <c r="K67" s="817"/>
      <c r="L67" s="818" t="s">
        <v>527</v>
      </c>
      <c r="M67" s="817" t="s">
        <v>528</v>
      </c>
      <c r="N67" s="819" t="s">
        <v>529</v>
      </c>
      <c r="O67" s="819" t="s">
        <v>530</v>
      </c>
      <c r="P67" s="819" t="s">
        <v>531</v>
      </c>
      <c r="Q67" s="819" t="s">
        <v>532</v>
      </c>
      <c r="R67" s="819" t="s">
        <v>533</v>
      </c>
      <c r="S67" s="819" t="s">
        <v>534</v>
      </c>
      <c r="T67" s="819" t="s">
        <v>535</v>
      </c>
      <c r="U67" s="819" t="s">
        <v>536</v>
      </c>
      <c r="V67" s="819" t="s">
        <v>537</v>
      </c>
      <c r="W67" s="818" t="s">
        <v>538</v>
      </c>
      <c r="X67" s="817" t="s">
        <v>907</v>
      </c>
      <c r="Y67" s="817" t="s">
        <v>540</v>
      </c>
      <c r="Z67" s="817" t="s">
        <v>541</v>
      </c>
      <c r="AA67" s="819"/>
      <c r="AB67" s="817" t="s">
        <v>542</v>
      </c>
      <c r="AC67" s="817"/>
      <c r="AD67" s="817" t="s">
        <v>543</v>
      </c>
      <c r="AE67" s="817"/>
      <c r="AF67" s="817" t="s">
        <v>544</v>
      </c>
      <c r="AG67" s="817"/>
      <c r="AH67" s="817" t="s">
        <v>545</v>
      </c>
      <c r="AI67" s="817"/>
      <c r="AJ67" s="817"/>
      <c r="AL67" s="783"/>
    </row>
    <row r="68" spans="1:38" ht="31.7" customHeight="1">
      <c r="A68" s="1096" t="s">
        <v>52</v>
      </c>
      <c r="B68" s="1096"/>
      <c r="C68" s="1096" t="s">
        <v>694</v>
      </c>
      <c r="D68" s="1096" t="s">
        <v>908</v>
      </c>
      <c r="E68" s="1097" t="s">
        <v>909</v>
      </c>
      <c r="F68" s="1096" t="s">
        <v>910</v>
      </c>
      <c r="G68" s="1096" t="s">
        <v>178</v>
      </c>
      <c r="H68" s="1096" t="s">
        <v>911</v>
      </c>
      <c r="I68" s="1096" t="s">
        <v>912</v>
      </c>
      <c r="J68" s="1096" t="s">
        <v>913</v>
      </c>
      <c r="K68" s="1096" t="s">
        <v>178</v>
      </c>
      <c r="L68" s="1096" t="s">
        <v>914</v>
      </c>
      <c r="M68" s="821" t="s">
        <v>888</v>
      </c>
      <c r="N68" s="821" t="s">
        <v>889</v>
      </c>
      <c r="O68" s="821" t="s">
        <v>890</v>
      </c>
      <c r="P68" s="821" t="s">
        <v>891</v>
      </c>
      <c r="Q68" s="821" t="s">
        <v>892</v>
      </c>
      <c r="R68" s="821" t="s">
        <v>893</v>
      </c>
      <c r="S68" s="821" t="s">
        <v>915</v>
      </c>
      <c r="T68" s="821" t="s">
        <v>895</v>
      </c>
      <c r="U68" s="821" t="s">
        <v>896</v>
      </c>
      <c r="V68" s="821" t="s">
        <v>897</v>
      </c>
      <c r="W68" s="821" t="s">
        <v>898</v>
      </c>
      <c r="X68" s="821" t="s">
        <v>899</v>
      </c>
      <c r="Y68" s="821" t="s">
        <v>888</v>
      </c>
      <c r="Z68" s="1096" t="s">
        <v>916</v>
      </c>
      <c r="AA68" s="1096" t="s">
        <v>912</v>
      </c>
      <c r="AB68" s="1099" t="s">
        <v>931</v>
      </c>
      <c r="AC68" s="1100" t="s">
        <v>178</v>
      </c>
      <c r="AD68" s="1099" t="s">
        <v>918</v>
      </c>
      <c r="AE68" s="791"/>
      <c r="AF68" s="1099" t="s">
        <v>919</v>
      </c>
      <c r="AG68" s="791"/>
      <c r="AH68" s="1096" t="s">
        <v>920</v>
      </c>
      <c r="AI68" s="1099"/>
      <c r="AJ68" s="1099"/>
      <c r="AL68" s="783"/>
    </row>
    <row r="69" spans="1:38" ht="33" customHeight="1">
      <c r="A69" s="1096"/>
      <c r="B69" s="1096"/>
      <c r="C69" s="1096"/>
      <c r="D69" s="1096"/>
      <c r="E69" s="1097"/>
      <c r="F69" s="1096"/>
      <c r="G69" s="1096"/>
      <c r="H69" s="1096"/>
      <c r="I69" s="1096"/>
      <c r="J69" s="1096"/>
      <c r="K69" s="1096"/>
      <c r="L69" s="1096"/>
      <c r="M69" s="823" t="s">
        <v>932</v>
      </c>
      <c r="N69" s="823" t="s">
        <v>933</v>
      </c>
      <c r="O69" s="823" t="s">
        <v>933</v>
      </c>
      <c r="P69" s="823" t="s">
        <v>933</v>
      </c>
      <c r="Q69" s="823" t="s">
        <v>933</v>
      </c>
      <c r="R69" s="823" t="s">
        <v>933</v>
      </c>
      <c r="S69" s="823" t="s">
        <v>933</v>
      </c>
      <c r="T69" s="823" t="s">
        <v>933</v>
      </c>
      <c r="U69" s="823" t="s">
        <v>933</v>
      </c>
      <c r="V69" s="823" t="s">
        <v>933</v>
      </c>
      <c r="W69" s="823" t="s">
        <v>933</v>
      </c>
      <c r="X69" s="823" t="s">
        <v>933</v>
      </c>
      <c r="Y69" s="823" t="s">
        <v>933</v>
      </c>
      <c r="Z69" s="1096"/>
      <c r="AA69" s="1096"/>
      <c r="AB69" s="1096"/>
      <c r="AC69" s="1100"/>
      <c r="AD69" s="1096"/>
      <c r="AE69" s="820"/>
      <c r="AF69" s="1096"/>
      <c r="AG69" s="791"/>
      <c r="AH69" s="1096"/>
      <c r="AI69" s="1099"/>
      <c r="AJ69" s="1099"/>
      <c r="AL69" s="783"/>
    </row>
    <row r="70" spans="1:38" ht="15.75">
      <c r="A70" s="824">
        <v>52</v>
      </c>
      <c r="B70" s="824"/>
      <c r="C70" s="824" t="s">
        <v>934</v>
      </c>
      <c r="D70" s="870"/>
      <c r="E70" s="826"/>
      <c r="F70" s="870"/>
      <c r="G70" s="828"/>
      <c r="H70" s="799">
        <f t="shared" ref="H70:H79" si="6">IFERROR(D70/F70,0)</f>
        <v>0</v>
      </c>
      <c r="I70" s="829"/>
      <c r="J70" s="798"/>
      <c r="K70" s="829"/>
      <c r="L70" s="830">
        <f t="shared" ref="L70:L79" si="7">IFERROR(H70*J70,0)</f>
        <v>0</v>
      </c>
      <c r="M70" s="839"/>
      <c r="N70" s="839"/>
      <c r="O70" s="839"/>
      <c r="P70" s="839"/>
      <c r="Q70" s="839"/>
      <c r="R70" s="839"/>
      <c r="S70" s="871"/>
      <c r="T70" s="871"/>
      <c r="U70" s="871"/>
      <c r="V70" s="871"/>
      <c r="W70" s="871"/>
      <c r="X70" s="871"/>
      <c r="Y70" s="871"/>
      <c r="Z70" s="841">
        <f t="shared" ref="Z70:Z79" si="8">SUM(M70:Y70)/13</f>
        <v>0</v>
      </c>
      <c r="AA70" s="829"/>
      <c r="AB70" s="829"/>
      <c r="AC70" s="832"/>
      <c r="AD70" s="872">
        <f>Z70*AB70</f>
        <v>0</v>
      </c>
      <c r="AE70" s="833"/>
      <c r="AF70" s="829"/>
      <c r="AG70" s="834"/>
      <c r="AH70" s="829"/>
      <c r="AI70" s="779"/>
      <c r="AJ70" s="873"/>
      <c r="AL70" s="783"/>
    </row>
    <row r="71" spans="1:38" ht="15.75">
      <c r="A71" s="824">
        <v>53</v>
      </c>
      <c r="B71" s="829"/>
      <c r="C71" s="829"/>
      <c r="D71" s="836"/>
      <c r="E71" s="837"/>
      <c r="F71" s="836"/>
      <c r="G71" s="838"/>
      <c r="H71" s="799">
        <f t="shared" si="6"/>
        <v>0</v>
      </c>
      <c r="I71" s="829"/>
      <c r="J71" s="798"/>
      <c r="K71" s="829"/>
      <c r="L71" s="830">
        <f t="shared" si="7"/>
        <v>0</v>
      </c>
      <c r="M71" s="839"/>
      <c r="N71" s="839"/>
      <c r="O71" s="839"/>
      <c r="P71" s="839"/>
      <c r="Q71" s="839"/>
      <c r="R71" s="839"/>
      <c r="S71" s="839"/>
      <c r="T71" s="839"/>
      <c r="U71" s="839"/>
      <c r="V71" s="839"/>
      <c r="W71" s="839"/>
      <c r="X71" s="839"/>
      <c r="Y71" s="839"/>
      <c r="Z71" s="841">
        <f t="shared" si="8"/>
        <v>0</v>
      </c>
      <c r="AA71" s="829"/>
      <c r="AB71" s="829"/>
      <c r="AC71" s="842"/>
      <c r="AD71" s="872">
        <f t="shared" ref="AD71:AD79" si="9">Z71*AB71</f>
        <v>0</v>
      </c>
      <c r="AE71" s="833"/>
      <c r="AF71" s="829"/>
      <c r="AG71" s="834"/>
      <c r="AH71" s="829"/>
      <c r="AI71" s="779"/>
      <c r="AJ71" s="873"/>
    </row>
    <row r="72" spans="1:38" ht="15.75">
      <c r="A72" s="824">
        <v>54</v>
      </c>
      <c r="B72" s="829"/>
      <c r="C72" s="829"/>
      <c r="D72" s="836"/>
      <c r="E72" s="837"/>
      <c r="F72" s="836"/>
      <c r="G72" s="838"/>
      <c r="H72" s="799">
        <f t="shared" si="6"/>
        <v>0</v>
      </c>
      <c r="I72" s="829"/>
      <c r="J72" s="798"/>
      <c r="K72" s="829"/>
      <c r="L72" s="830">
        <f t="shared" si="7"/>
        <v>0</v>
      </c>
      <c r="M72" s="839"/>
      <c r="N72" s="839"/>
      <c r="O72" s="839"/>
      <c r="P72" s="839"/>
      <c r="Q72" s="839"/>
      <c r="R72" s="839"/>
      <c r="S72" s="839"/>
      <c r="T72" s="839"/>
      <c r="U72" s="839"/>
      <c r="V72" s="839"/>
      <c r="W72" s="839"/>
      <c r="X72" s="839"/>
      <c r="Y72" s="839"/>
      <c r="Z72" s="841">
        <f t="shared" si="8"/>
        <v>0</v>
      </c>
      <c r="AA72" s="829"/>
      <c r="AB72" s="829"/>
      <c r="AC72" s="842"/>
      <c r="AD72" s="872">
        <f t="shared" si="9"/>
        <v>0</v>
      </c>
      <c r="AE72" s="833"/>
      <c r="AF72" s="829"/>
      <c r="AG72" s="834"/>
      <c r="AH72" s="829"/>
      <c r="AI72" s="779"/>
      <c r="AJ72" s="873"/>
    </row>
    <row r="73" spans="1:38" ht="15.75">
      <c r="A73" s="824">
        <v>55</v>
      </c>
      <c r="B73" s="829"/>
      <c r="C73" s="829"/>
      <c r="D73" s="836"/>
      <c r="E73" s="837"/>
      <c r="F73" s="836"/>
      <c r="G73" s="838"/>
      <c r="H73" s="799">
        <f t="shared" si="6"/>
        <v>0</v>
      </c>
      <c r="I73" s="829"/>
      <c r="J73" s="798"/>
      <c r="K73" s="829"/>
      <c r="L73" s="830">
        <f t="shared" si="7"/>
        <v>0</v>
      </c>
      <c r="M73" s="839"/>
      <c r="N73" s="839"/>
      <c r="O73" s="839"/>
      <c r="P73" s="839"/>
      <c r="Q73" s="839"/>
      <c r="R73" s="839"/>
      <c r="S73" s="839"/>
      <c r="T73" s="839"/>
      <c r="U73" s="839"/>
      <c r="V73" s="839"/>
      <c r="W73" s="839"/>
      <c r="X73" s="839"/>
      <c r="Y73" s="839"/>
      <c r="Z73" s="841">
        <f t="shared" si="8"/>
        <v>0</v>
      </c>
      <c r="AA73" s="829"/>
      <c r="AB73" s="829"/>
      <c r="AC73" s="842"/>
      <c r="AD73" s="872">
        <f t="shared" si="9"/>
        <v>0</v>
      </c>
      <c r="AE73" s="833"/>
      <c r="AF73" s="829"/>
      <c r="AG73" s="834"/>
      <c r="AH73" s="829"/>
      <c r="AI73" s="824"/>
      <c r="AJ73" s="874"/>
    </row>
    <row r="74" spans="1:38" ht="15.75">
      <c r="A74" s="824">
        <v>56</v>
      </c>
      <c r="B74" s="829"/>
      <c r="C74" s="829"/>
      <c r="D74" s="836"/>
      <c r="E74" s="837"/>
      <c r="F74" s="836"/>
      <c r="G74" s="838"/>
      <c r="H74" s="799">
        <f t="shared" si="6"/>
        <v>0</v>
      </c>
      <c r="I74" s="829"/>
      <c r="J74" s="798"/>
      <c r="K74" s="829"/>
      <c r="L74" s="830">
        <f t="shared" si="7"/>
        <v>0</v>
      </c>
      <c r="M74" s="839"/>
      <c r="N74" s="839"/>
      <c r="O74" s="839"/>
      <c r="P74" s="839"/>
      <c r="Q74" s="839"/>
      <c r="R74" s="839"/>
      <c r="S74" s="839"/>
      <c r="T74" s="839"/>
      <c r="U74" s="839"/>
      <c r="V74" s="839"/>
      <c r="W74" s="839"/>
      <c r="X74" s="839"/>
      <c r="Y74" s="839"/>
      <c r="Z74" s="841">
        <f t="shared" si="8"/>
        <v>0</v>
      </c>
      <c r="AA74" s="829"/>
      <c r="AB74" s="829"/>
      <c r="AC74" s="842"/>
      <c r="AD74" s="872">
        <f t="shared" si="9"/>
        <v>0</v>
      </c>
      <c r="AE74" s="833"/>
      <c r="AF74" s="829"/>
      <c r="AG74" s="834"/>
      <c r="AH74" s="829"/>
      <c r="AI74" s="829"/>
      <c r="AJ74" s="834"/>
    </row>
    <row r="75" spans="1:38" ht="15.75">
      <c r="A75" s="824">
        <v>57</v>
      </c>
      <c r="B75" s="829"/>
      <c r="C75" s="829"/>
      <c r="D75" s="836"/>
      <c r="E75" s="837"/>
      <c r="F75" s="836"/>
      <c r="G75" s="838"/>
      <c r="H75" s="799">
        <f t="shared" si="6"/>
        <v>0</v>
      </c>
      <c r="I75" s="829"/>
      <c r="J75" s="798"/>
      <c r="K75" s="829"/>
      <c r="L75" s="830">
        <f t="shared" si="7"/>
        <v>0</v>
      </c>
      <c r="M75" s="839"/>
      <c r="N75" s="839"/>
      <c r="O75" s="839"/>
      <c r="P75" s="839"/>
      <c r="Q75" s="839"/>
      <c r="R75" s="839"/>
      <c r="S75" s="839"/>
      <c r="T75" s="839"/>
      <c r="U75" s="839"/>
      <c r="V75" s="839"/>
      <c r="W75" s="839"/>
      <c r="X75" s="839"/>
      <c r="Y75" s="839"/>
      <c r="Z75" s="841">
        <f t="shared" si="8"/>
        <v>0</v>
      </c>
      <c r="AA75" s="829"/>
      <c r="AB75" s="829"/>
      <c r="AC75" s="842"/>
      <c r="AD75" s="872">
        <f t="shared" si="9"/>
        <v>0</v>
      </c>
      <c r="AE75" s="833"/>
      <c r="AF75" s="829"/>
      <c r="AG75" s="834"/>
      <c r="AH75" s="829"/>
      <c r="AI75" s="829"/>
      <c r="AJ75" s="834"/>
    </row>
    <row r="76" spans="1:38" ht="15.75">
      <c r="A76" s="824">
        <v>58</v>
      </c>
      <c r="B76" s="829"/>
      <c r="C76" s="829"/>
      <c r="D76" s="836"/>
      <c r="E76" s="837"/>
      <c r="F76" s="836"/>
      <c r="G76" s="838"/>
      <c r="H76" s="799">
        <f t="shared" si="6"/>
        <v>0</v>
      </c>
      <c r="I76" s="829"/>
      <c r="J76" s="798"/>
      <c r="K76" s="829"/>
      <c r="L76" s="830">
        <f t="shared" si="7"/>
        <v>0</v>
      </c>
      <c r="M76" s="839"/>
      <c r="N76" s="839"/>
      <c r="O76" s="839"/>
      <c r="P76" s="839"/>
      <c r="Q76" s="839"/>
      <c r="R76" s="839"/>
      <c r="S76" s="839"/>
      <c r="T76" s="839"/>
      <c r="U76" s="839"/>
      <c r="V76" s="839"/>
      <c r="W76" s="839"/>
      <c r="X76" s="839"/>
      <c r="Y76" s="839"/>
      <c r="Z76" s="841">
        <f t="shared" si="8"/>
        <v>0</v>
      </c>
      <c r="AA76" s="829"/>
      <c r="AB76" s="829"/>
      <c r="AC76" s="842"/>
      <c r="AD76" s="872">
        <f t="shared" si="9"/>
        <v>0</v>
      </c>
      <c r="AE76" s="833"/>
      <c r="AF76" s="829"/>
      <c r="AG76" s="834"/>
      <c r="AH76" s="829"/>
      <c r="AI76" s="829"/>
      <c r="AJ76" s="834"/>
    </row>
    <row r="77" spans="1:38" ht="15.75">
      <c r="A77" s="824">
        <v>59</v>
      </c>
      <c r="B77" s="829"/>
      <c r="C77" s="829"/>
      <c r="D77" s="836"/>
      <c r="E77" s="837"/>
      <c r="F77" s="836"/>
      <c r="G77" s="838"/>
      <c r="H77" s="799">
        <f t="shared" si="6"/>
        <v>0</v>
      </c>
      <c r="I77" s="829"/>
      <c r="J77" s="798"/>
      <c r="K77" s="829"/>
      <c r="L77" s="830">
        <f t="shared" si="7"/>
        <v>0</v>
      </c>
      <c r="M77" s="839"/>
      <c r="N77" s="839"/>
      <c r="O77" s="839"/>
      <c r="P77" s="839"/>
      <c r="Q77" s="839"/>
      <c r="R77" s="839"/>
      <c r="S77" s="839"/>
      <c r="T77" s="839"/>
      <c r="U77" s="839"/>
      <c r="V77" s="839"/>
      <c r="W77" s="839"/>
      <c r="X77" s="839"/>
      <c r="Y77" s="839"/>
      <c r="Z77" s="841">
        <f t="shared" si="8"/>
        <v>0</v>
      </c>
      <c r="AA77" s="829"/>
      <c r="AB77" s="829"/>
      <c r="AC77" s="842"/>
      <c r="AD77" s="872">
        <f t="shared" si="9"/>
        <v>0</v>
      </c>
      <c r="AE77" s="833"/>
      <c r="AF77" s="829"/>
      <c r="AG77" s="834"/>
      <c r="AH77" s="829"/>
      <c r="AI77" s="829"/>
      <c r="AJ77" s="834"/>
    </row>
    <row r="78" spans="1:38" ht="15.75">
      <c r="A78" s="824">
        <v>60</v>
      </c>
      <c r="B78" s="829"/>
      <c r="C78" s="829"/>
      <c r="D78" s="836"/>
      <c r="E78" s="837"/>
      <c r="F78" s="836"/>
      <c r="G78" s="838"/>
      <c r="H78" s="799">
        <f t="shared" si="6"/>
        <v>0</v>
      </c>
      <c r="I78" s="829"/>
      <c r="J78" s="798"/>
      <c r="K78" s="829"/>
      <c r="L78" s="830">
        <f t="shared" si="7"/>
        <v>0</v>
      </c>
      <c r="M78" s="839"/>
      <c r="N78" s="839"/>
      <c r="O78" s="839"/>
      <c r="P78" s="839"/>
      <c r="Q78" s="839"/>
      <c r="R78" s="839"/>
      <c r="S78" s="839"/>
      <c r="T78" s="839"/>
      <c r="U78" s="839"/>
      <c r="V78" s="839"/>
      <c r="W78" s="839"/>
      <c r="X78" s="839"/>
      <c r="Y78" s="839"/>
      <c r="Z78" s="841">
        <f t="shared" si="8"/>
        <v>0</v>
      </c>
      <c r="AA78" s="829"/>
      <c r="AB78" s="829"/>
      <c r="AC78" s="842"/>
      <c r="AD78" s="872">
        <f t="shared" si="9"/>
        <v>0</v>
      </c>
      <c r="AE78" s="833"/>
      <c r="AF78" s="829"/>
      <c r="AG78" s="834"/>
      <c r="AH78" s="829"/>
      <c r="AI78" s="829"/>
      <c r="AJ78" s="834"/>
    </row>
    <row r="79" spans="1:38" ht="15.75">
      <c r="A79" s="824">
        <v>61</v>
      </c>
      <c r="B79" s="829"/>
      <c r="C79" s="829"/>
      <c r="D79" s="836"/>
      <c r="E79" s="844"/>
      <c r="F79" s="845"/>
      <c r="G79" s="846"/>
      <c r="H79" s="801">
        <f t="shared" si="6"/>
        <v>0</v>
      </c>
      <c r="I79" s="847"/>
      <c r="J79" s="802"/>
      <c r="K79" s="847"/>
      <c r="L79" s="830">
        <f t="shared" si="7"/>
        <v>0</v>
      </c>
      <c r="M79" s="848"/>
      <c r="N79" s="848"/>
      <c r="O79" s="848"/>
      <c r="P79" s="848"/>
      <c r="Q79" s="848"/>
      <c r="R79" s="848"/>
      <c r="S79" s="848"/>
      <c r="T79" s="848"/>
      <c r="U79" s="848"/>
      <c r="V79" s="848"/>
      <c r="W79" s="848"/>
      <c r="X79" s="848"/>
      <c r="Y79" s="848"/>
      <c r="Z79" s="849">
        <f t="shared" si="8"/>
        <v>0</v>
      </c>
      <c r="AA79" s="847"/>
      <c r="AB79" s="847"/>
      <c r="AC79" s="850"/>
      <c r="AD79" s="875">
        <f t="shared" si="9"/>
        <v>0</v>
      </c>
      <c r="AE79" s="833"/>
      <c r="AF79" s="847"/>
      <c r="AG79" s="852"/>
      <c r="AH79" s="853"/>
      <c r="AI79" s="853"/>
      <c r="AJ79" s="854"/>
    </row>
    <row r="80" spans="1:38" ht="15.75">
      <c r="A80" s="855">
        <v>62</v>
      </c>
      <c r="B80" s="856" t="s">
        <v>935</v>
      </c>
      <c r="C80" s="856"/>
      <c r="D80" s="856"/>
      <c r="E80" s="856"/>
      <c r="F80" s="856"/>
      <c r="G80" s="856"/>
      <c r="H80" s="856"/>
      <c r="I80" s="856"/>
      <c r="J80" s="856"/>
      <c r="K80" s="856"/>
      <c r="L80" s="857">
        <f>SUM(L70:L79)</f>
        <v>0</v>
      </c>
      <c r="M80" s="779"/>
      <c r="N80" s="779"/>
      <c r="O80" s="858" t="s">
        <v>924</v>
      </c>
      <c r="P80" s="858"/>
      <c r="Q80" s="858"/>
      <c r="R80" s="858"/>
      <c r="S80" s="858"/>
      <c r="T80" s="858"/>
      <c r="U80" s="858"/>
      <c r="V80" s="858"/>
      <c r="W80" s="858"/>
      <c r="X80" s="779"/>
      <c r="Y80" s="779"/>
      <c r="Z80" s="859" t="s">
        <v>936</v>
      </c>
      <c r="AA80" s="859"/>
      <c r="AB80" s="859"/>
      <c r="AC80" s="859"/>
      <c r="AD80" s="876">
        <f>SUM(AD70:AD79)</f>
        <v>0</v>
      </c>
      <c r="AE80" s="804"/>
      <c r="AF80" s="861"/>
      <c r="AG80" s="816"/>
      <c r="AH80" s="779"/>
      <c r="AI80" s="779"/>
      <c r="AJ80" s="779"/>
    </row>
    <row r="81" spans="1:36" ht="15.75">
      <c r="A81" s="779"/>
      <c r="B81" s="779"/>
      <c r="C81" s="779"/>
      <c r="D81" s="781"/>
      <c r="E81" s="784"/>
      <c r="F81" s="815"/>
      <c r="G81" s="806"/>
      <c r="H81" s="781"/>
      <c r="I81" s="806"/>
      <c r="J81" s="779"/>
      <c r="K81" s="779"/>
      <c r="L81" s="781"/>
      <c r="M81" s="779"/>
      <c r="N81" s="779"/>
      <c r="O81" s="779"/>
      <c r="P81" s="779"/>
      <c r="Q81" s="779"/>
      <c r="R81" s="779"/>
      <c r="S81" s="779"/>
      <c r="T81" s="779"/>
      <c r="U81" s="779"/>
      <c r="V81" s="779"/>
      <c r="W81" s="779"/>
      <c r="X81" s="779"/>
      <c r="Y81" s="779"/>
      <c r="Z81" s="779"/>
      <c r="AA81" s="779"/>
      <c r="AB81" s="815"/>
      <c r="AC81" s="779"/>
      <c r="AD81" s="779"/>
      <c r="AE81" s="779"/>
      <c r="AF81" s="779"/>
      <c r="AG81" s="779"/>
      <c r="AH81" s="779"/>
      <c r="AI81" s="779"/>
      <c r="AJ81" s="816"/>
    </row>
    <row r="82" spans="1:36" ht="15.75">
      <c r="A82" s="779"/>
      <c r="B82" s="779"/>
      <c r="C82" s="779" t="s">
        <v>926</v>
      </c>
      <c r="D82" s="781"/>
      <c r="E82" s="784"/>
      <c r="F82" s="815"/>
      <c r="G82" s="806"/>
      <c r="H82" s="781"/>
      <c r="I82" s="806"/>
      <c r="J82" s="779"/>
      <c r="K82" s="779"/>
      <c r="L82" s="781"/>
      <c r="M82" s="858"/>
      <c r="N82" s="858"/>
      <c r="O82" s="858"/>
      <c r="P82" s="779"/>
      <c r="Q82" s="779"/>
      <c r="R82" s="779"/>
      <c r="S82" s="779"/>
      <c r="T82" s="779"/>
      <c r="U82" s="779"/>
      <c r="V82" s="779"/>
      <c r="W82" s="779"/>
      <c r="X82" s="779"/>
      <c r="Y82" s="858"/>
      <c r="Z82" s="779" t="s">
        <v>927</v>
      </c>
      <c r="AA82" s="779"/>
      <c r="AB82" s="779"/>
      <c r="AC82" s="779"/>
      <c r="AD82" s="816"/>
      <c r="AE82" s="779"/>
      <c r="AF82" s="779"/>
      <c r="AG82" s="779"/>
      <c r="AH82" s="779"/>
      <c r="AI82" s="779"/>
      <c r="AJ82" s="779"/>
    </row>
    <row r="83" spans="1:36" ht="15.75">
      <c r="A83" s="780"/>
      <c r="B83" s="809" t="s">
        <v>47</v>
      </c>
      <c r="C83" s="1098" t="s">
        <v>937</v>
      </c>
      <c r="D83" s="1098"/>
      <c r="E83" s="1098"/>
      <c r="F83" s="1098"/>
      <c r="G83" s="1098"/>
      <c r="H83" s="1098"/>
      <c r="I83" s="1098"/>
      <c r="J83" s="1098"/>
      <c r="K83" s="1098"/>
      <c r="L83" s="868"/>
      <c r="M83" s="864"/>
      <c r="N83" s="864"/>
      <c r="O83" s="864"/>
      <c r="P83" s="863"/>
      <c r="Q83" s="863"/>
      <c r="R83" s="863"/>
      <c r="S83" s="863"/>
      <c r="T83" s="863"/>
      <c r="U83" s="863"/>
      <c r="V83" s="863"/>
      <c r="W83" s="863"/>
      <c r="X83" s="863"/>
      <c r="Y83" s="863"/>
      <c r="Z83" s="865" t="s">
        <v>48</v>
      </c>
      <c r="AA83" s="866" t="s">
        <v>938</v>
      </c>
      <c r="AD83" s="807"/>
      <c r="AE83" s="863"/>
      <c r="AF83" s="863"/>
      <c r="AG83" s="863"/>
      <c r="AH83" s="863"/>
      <c r="AI83" s="863"/>
      <c r="AJ83" s="779"/>
    </row>
    <row r="84" spans="1:36" ht="15.75">
      <c r="A84" s="780"/>
      <c r="B84" s="809"/>
      <c r="C84" s="1098"/>
      <c r="D84" s="1098"/>
      <c r="E84" s="1098"/>
      <c r="F84" s="1098"/>
      <c r="G84" s="1098"/>
      <c r="H84" s="1098"/>
      <c r="I84" s="1098"/>
      <c r="J84" s="1098"/>
      <c r="K84" s="1098"/>
      <c r="L84" s="868"/>
      <c r="M84" s="863"/>
      <c r="N84" s="863"/>
      <c r="O84" s="863"/>
      <c r="P84" s="863"/>
      <c r="Q84" s="863"/>
      <c r="R84" s="863"/>
      <c r="S84" s="863"/>
      <c r="T84" s="863"/>
      <c r="U84" s="863"/>
      <c r="V84" s="863"/>
      <c r="W84" s="863"/>
      <c r="X84" s="863"/>
      <c r="Y84" s="863"/>
      <c r="Z84" s="779"/>
      <c r="AA84" s="779"/>
      <c r="AB84" s="865"/>
      <c r="AC84" s="779"/>
      <c r="AD84" s="807"/>
      <c r="AE84" s="779"/>
      <c r="AF84" s="779"/>
      <c r="AG84" s="863"/>
      <c r="AH84" s="863"/>
      <c r="AI84" s="863"/>
      <c r="AJ84" s="779"/>
    </row>
  </sheetData>
  <mergeCells count="52">
    <mergeCell ref="AH68:AH69"/>
    <mergeCell ref="AI68:AI69"/>
    <mergeCell ref="AJ68:AJ69"/>
    <mergeCell ref="C83:K84"/>
    <mergeCell ref="Z68:Z69"/>
    <mergeCell ref="AA68:AA69"/>
    <mergeCell ref="AB68:AB69"/>
    <mergeCell ref="AC68:AC69"/>
    <mergeCell ref="AD68:AD69"/>
    <mergeCell ref="AF68:AF69"/>
    <mergeCell ref="G68:G69"/>
    <mergeCell ref="H68:H69"/>
    <mergeCell ref="I68:I69"/>
    <mergeCell ref="J68:J69"/>
    <mergeCell ref="K68:K69"/>
    <mergeCell ref="L68:L69"/>
    <mergeCell ref="A68:A69"/>
    <mergeCell ref="B68:B69"/>
    <mergeCell ref="C68:C69"/>
    <mergeCell ref="D68:D69"/>
    <mergeCell ref="E68:E69"/>
    <mergeCell ref="F68:F69"/>
    <mergeCell ref="AH5:AH6"/>
    <mergeCell ref="C60:L61"/>
    <mergeCell ref="A64:L64"/>
    <mergeCell ref="M64:Y64"/>
    <mergeCell ref="Z64:AJ64"/>
    <mergeCell ref="A65:L65"/>
    <mergeCell ref="Z5:Z6"/>
    <mergeCell ref="AA5:AA6"/>
    <mergeCell ref="AB5:AB6"/>
    <mergeCell ref="AC5:AC6"/>
    <mergeCell ref="AD5:AD6"/>
    <mergeCell ref="AF5:AF6"/>
    <mergeCell ref="G5:G6"/>
    <mergeCell ref="H5:H6"/>
    <mergeCell ref="I5:I6"/>
    <mergeCell ref="J5:J6"/>
    <mergeCell ref="K5:K6"/>
    <mergeCell ref="L5:L6"/>
    <mergeCell ref="A5:A6"/>
    <mergeCell ref="B5:B6"/>
    <mergeCell ref="C5:C6"/>
    <mergeCell ref="D5:D6"/>
    <mergeCell ref="E5:E6"/>
    <mergeCell ref="F5:F6"/>
    <mergeCell ref="A1:L1"/>
    <mergeCell ref="M1:Y1"/>
    <mergeCell ref="Z1:AJ1"/>
    <mergeCell ref="A2:L2"/>
    <mergeCell ref="M2:Y2"/>
    <mergeCell ref="Z2:AJ2"/>
  </mergeCells>
  <pageMargins left="0.7" right="0.7" top="0.75" bottom="0.75" header="0.3" footer="0.3"/>
  <pageSetup scale="30" fitToHeight="2" orientation="landscape" r:id="rId1"/>
  <rowBreaks count="1" manualBreakCount="1">
    <brk id="62" max="16383" man="1"/>
  </rowBreaks>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42AC6-8AB6-4D88-BAF4-0D59B2478D78}">
  <sheetPr>
    <pageSetUpPr fitToPage="1"/>
  </sheetPr>
  <dimension ref="A1:Z44"/>
  <sheetViews>
    <sheetView view="pageBreakPreview" zoomScale="90" zoomScaleNormal="100" zoomScaleSheetLayoutView="90" workbookViewId="0">
      <selection sqref="A1:K1"/>
    </sheetView>
  </sheetViews>
  <sheetFormatPr defaultColWidth="7" defaultRowHeight="11.25"/>
  <cols>
    <col min="1" max="1" width="3" style="783" bestFit="1" customWidth="1"/>
    <col min="2" max="2" width="7.44140625" style="880" customWidth="1"/>
    <col min="3" max="3" width="32" style="880" customWidth="1"/>
    <col min="4" max="4" width="7.44140625" style="880" customWidth="1"/>
    <col min="5" max="16" width="7.44140625" style="877" customWidth="1"/>
    <col min="17" max="17" width="8.44140625" style="877" customWidth="1"/>
    <col min="18" max="18" width="1.44140625" style="877" customWidth="1"/>
    <col min="19" max="19" width="10" style="877" customWidth="1"/>
    <col min="20" max="20" width="1.44140625" style="877" customWidth="1"/>
    <col min="21" max="21" width="9.77734375" style="877" customWidth="1"/>
    <col min="22" max="22" width="1.44140625" style="783" customWidth="1"/>
    <col min="23" max="23" width="9.109375" style="783" customWidth="1"/>
    <col min="24" max="16384" width="7" style="783"/>
  </cols>
  <sheetData>
    <row r="1" spans="1:23" ht="15">
      <c r="A1" s="1101" t="s">
        <v>939</v>
      </c>
      <c r="B1" s="1101"/>
      <c r="C1" s="1101"/>
      <c r="D1" s="1101"/>
      <c r="E1" s="1101"/>
      <c r="F1" s="1101"/>
      <c r="G1" s="1101"/>
      <c r="H1" s="1101"/>
      <c r="I1" s="1101"/>
      <c r="J1" s="1101"/>
      <c r="K1" s="1101"/>
      <c r="L1" s="1101" t="s">
        <v>939</v>
      </c>
      <c r="M1" s="1101"/>
      <c r="N1" s="1101"/>
      <c r="O1" s="1101"/>
      <c r="P1" s="1101"/>
      <c r="Q1" s="1101"/>
      <c r="R1" s="1101"/>
      <c r="S1" s="1101"/>
      <c r="T1" s="1101"/>
      <c r="U1" s="1101"/>
      <c r="V1" s="1101"/>
      <c r="W1" s="1101"/>
    </row>
    <row r="2" spans="1:23" ht="15.75">
      <c r="A2" s="1102" t="str">
        <f>+'9 - Reg. Assets and Abnd Plnt'!A2</f>
        <v>GridLiance West LLC (GLW)</v>
      </c>
      <c r="B2" s="1102"/>
      <c r="C2" s="1102"/>
      <c r="D2" s="1102"/>
      <c r="E2" s="1102"/>
      <c r="F2" s="1102"/>
      <c r="G2" s="1102"/>
      <c r="H2" s="1102"/>
      <c r="I2" s="1102"/>
      <c r="J2" s="1102"/>
      <c r="K2" s="1102"/>
      <c r="L2" s="1102" t="str">
        <f>+A2</f>
        <v>GridLiance West LLC (GLW)</v>
      </c>
      <c r="M2" s="1102"/>
      <c r="N2" s="1102"/>
      <c r="O2" s="1102"/>
      <c r="P2" s="1102"/>
      <c r="Q2" s="1102"/>
      <c r="R2" s="1102"/>
      <c r="S2" s="1102"/>
      <c r="T2" s="1102"/>
      <c r="U2" s="1102"/>
      <c r="V2" s="1102"/>
      <c r="W2" s="1102"/>
    </row>
    <row r="3" spans="1:23">
      <c r="H3" s="881"/>
    </row>
    <row r="4" spans="1:23" s="788" customFormat="1">
      <c r="B4" s="882" t="s">
        <v>188</v>
      </c>
      <c r="C4" s="883" t="s">
        <v>523</v>
      </c>
      <c r="D4" s="884" t="s">
        <v>882</v>
      </c>
      <c r="E4" s="884" t="s">
        <v>525</v>
      </c>
      <c r="F4" s="884" t="s">
        <v>883</v>
      </c>
      <c r="G4" s="884" t="s">
        <v>527</v>
      </c>
      <c r="H4" s="884" t="s">
        <v>528</v>
      </c>
      <c r="I4" s="884" t="s">
        <v>529</v>
      </c>
      <c r="J4" s="884" t="s">
        <v>530</v>
      </c>
      <c r="K4" s="884" t="s">
        <v>531</v>
      </c>
      <c r="L4" s="884" t="s">
        <v>532</v>
      </c>
      <c r="M4" s="884" t="s">
        <v>533</v>
      </c>
      <c r="N4" s="884" t="s">
        <v>534</v>
      </c>
      <c r="O4" s="884" t="s">
        <v>535</v>
      </c>
      <c r="P4" s="884" t="s">
        <v>536</v>
      </c>
      <c r="Q4" s="883" t="s">
        <v>537</v>
      </c>
      <c r="S4" s="788" t="s">
        <v>538</v>
      </c>
      <c r="U4" s="788" t="s">
        <v>907</v>
      </c>
      <c r="W4" s="788" t="s">
        <v>540</v>
      </c>
    </row>
    <row r="5" spans="1:23" s="791" customFormat="1" ht="36.75" customHeight="1">
      <c r="A5" s="1103" t="s">
        <v>52</v>
      </c>
      <c r="B5" s="1103" t="s">
        <v>940</v>
      </c>
      <c r="C5" s="1104" t="s">
        <v>941</v>
      </c>
      <c r="D5" s="885" t="s">
        <v>888</v>
      </c>
      <c r="E5" s="886" t="s">
        <v>889</v>
      </c>
      <c r="F5" s="886" t="s">
        <v>890</v>
      </c>
      <c r="G5" s="886" t="s">
        <v>891</v>
      </c>
      <c r="H5" s="886" t="s">
        <v>892</v>
      </c>
      <c r="I5" s="886" t="s">
        <v>893</v>
      </c>
      <c r="J5" s="886" t="s">
        <v>915</v>
      </c>
      <c r="K5" s="886" t="s">
        <v>895</v>
      </c>
      <c r="L5" s="886" t="s">
        <v>942</v>
      </c>
      <c r="M5" s="886" t="s">
        <v>897</v>
      </c>
      <c r="N5" s="886" t="s">
        <v>898</v>
      </c>
      <c r="O5" s="886" t="s">
        <v>899</v>
      </c>
      <c r="P5" s="886" t="s">
        <v>888</v>
      </c>
      <c r="Q5" s="1103" t="s">
        <v>943</v>
      </c>
      <c r="R5" s="1103" t="s">
        <v>912</v>
      </c>
      <c r="S5" s="1103" t="s">
        <v>944</v>
      </c>
      <c r="T5" s="1103" t="s">
        <v>912</v>
      </c>
      <c r="U5" s="1103" t="s">
        <v>945</v>
      </c>
      <c r="V5" s="1103" t="s">
        <v>178</v>
      </c>
      <c r="W5" s="1103" t="s">
        <v>946</v>
      </c>
    </row>
    <row r="6" spans="1:23" s="791" customFormat="1" ht="28.5" customHeight="1">
      <c r="A6" s="1103"/>
      <c r="B6" s="1103"/>
      <c r="C6" s="1105"/>
      <c r="D6" s="887">
        <f>'9 - Reg. Assets and Abnd Plnt'!M6</f>
        <v>2026</v>
      </c>
      <c r="E6" s="888">
        <f>'9 - Reg. Assets and Abnd Plnt'!N6</f>
        <v>2027</v>
      </c>
      <c r="F6" s="888">
        <f>'9 - Reg. Assets and Abnd Plnt'!O6</f>
        <v>2027</v>
      </c>
      <c r="G6" s="888">
        <f>'9 - Reg. Assets and Abnd Plnt'!P6</f>
        <v>2027</v>
      </c>
      <c r="H6" s="888">
        <f>'9 - Reg. Assets and Abnd Plnt'!Q6</f>
        <v>2027</v>
      </c>
      <c r="I6" s="888">
        <f>'9 - Reg. Assets and Abnd Plnt'!R6</f>
        <v>2027</v>
      </c>
      <c r="J6" s="888">
        <f>'9 - Reg. Assets and Abnd Plnt'!S6</f>
        <v>2027</v>
      </c>
      <c r="K6" s="888">
        <f>'9 - Reg. Assets and Abnd Plnt'!T6</f>
        <v>2027</v>
      </c>
      <c r="L6" s="888">
        <f>'9 - Reg. Assets and Abnd Plnt'!U6</f>
        <v>2027</v>
      </c>
      <c r="M6" s="888">
        <f>'9 - Reg. Assets and Abnd Plnt'!V6</f>
        <v>2027</v>
      </c>
      <c r="N6" s="888">
        <f>'9 - Reg. Assets and Abnd Plnt'!W6</f>
        <v>2027</v>
      </c>
      <c r="O6" s="888">
        <f>'9 - Reg. Assets and Abnd Plnt'!X6</f>
        <v>2027</v>
      </c>
      <c r="P6" s="888">
        <f>'9 - Reg. Assets and Abnd Plnt'!Y6</f>
        <v>2027</v>
      </c>
      <c r="Q6" s="1103"/>
      <c r="R6" s="1103"/>
      <c r="S6" s="1103"/>
      <c r="T6" s="1103"/>
      <c r="U6" s="1103"/>
      <c r="V6" s="1103"/>
      <c r="W6" s="1103"/>
    </row>
    <row r="7" spans="1:23" ht="18" customHeight="1">
      <c r="A7" s="889" t="s">
        <v>269</v>
      </c>
      <c r="B7" s="890"/>
      <c r="C7" s="891"/>
      <c r="D7" s="891"/>
      <c r="E7" s="891"/>
      <c r="F7" s="891"/>
      <c r="G7" s="891"/>
      <c r="H7" s="891"/>
      <c r="I7" s="891"/>
      <c r="J7" s="891"/>
      <c r="K7" s="891"/>
      <c r="L7" s="891"/>
      <c r="M7" s="891"/>
      <c r="N7" s="891"/>
      <c r="O7" s="891"/>
      <c r="P7" s="891"/>
      <c r="Q7" s="892">
        <f t="shared" ref="Q7:Q31" si="0">IFERROR(SUM(D7:P7)/13,0)</f>
        <v>0</v>
      </c>
      <c r="R7" s="893"/>
      <c r="S7" s="894"/>
      <c r="T7" s="893"/>
      <c r="U7" s="894"/>
      <c r="V7" s="895"/>
      <c r="W7" s="892">
        <f t="shared" ref="W7:W31" si="1">Q7*S7*U7</f>
        <v>0</v>
      </c>
    </row>
    <row r="8" spans="1:23" ht="15" customHeight="1">
      <c r="A8" s="889" t="s">
        <v>900</v>
      </c>
      <c r="B8" s="896"/>
      <c r="C8" s="897"/>
      <c r="D8" s="897"/>
      <c r="E8" s="897"/>
      <c r="F8" s="897"/>
      <c r="G8" s="897"/>
      <c r="H8" s="897"/>
      <c r="I8" s="897"/>
      <c r="J8" s="897"/>
      <c r="K8" s="897"/>
      <c r="L8" s="898"/>
      <c r="M8" s="897"/>
      <c r="N8" s="897"/>
      <c r="O8" s="897"/>
      <c r="P8" s="897"/>
      <c r="Q8" s="892">
        <f t="shared" si="0"/>
        <v>0</v>
      </c>
      <c r="R8" s="892"/>
      <c r="S8" s="899"/>
      <c r="T8" s="892"/>
      <c r="U8" s="899"/>
      <c r="V8" s="842"/>
      <c r="W8" s="892">
        <f t="shared" si="1"/>
        <v>0</v>
      </c>
    </row>
    <row r="9" spans="1:23">
      <c r="A9" s="889" t="s">
        <v>901</v>
      </c>
      <c r="B9" s="896"/>
      <c r="C9" s="897"/>
      <c r="D9" s="897"/>
      <c r="E9" s="897"/>
      <c r="F9" s="897"/>
      <c r="G9" s="897"/>
      <c r="H9" s="897"/>
      <c r="I9" s="897"/>
      <c r="J9" s="897"/>
      <c r="K9" s="897"/>
      <c r="L9" s="897"/>
      <c r="M9" s="897"/>
      <c r="N9" s="897"/>
      <c r="O9" s="897"/>
      <c r="P9" s="897"/>
      <c r="Q9" s="892">
        <f t="shared" si="0"/>
        <v>0</v>
      </c>
      <c r="R9" s="892"/>
      <c r="S9" s="899"/>
      <c r="T9" s="892"/>
      <c r="U9" s="899"/>
      <c r="V9" s="842"/>
      <c r="W9" s="892">
        <f t="shared" si="1"/>
        <v>0</v>
      </c>
    </row>
    <row r="10" spans="1:23">
      <c r="A10" s="889" t="s">
        <v>271</v>
      </c>
      <c r="B10" s="896"/>
      <c r="C10" s="897"/>
      <c r="D10" s="897"/>
      <c r="E10" s="897"/>
      <c r="F10" s="897"/>
      <c r="G10" s="897"/>
      <c r="H10" s="897"/>
      <c r="I10" s="897"/>
      <c r="J10" s="897"/>
      <c r="K10" s="897"/>
      <c r="L10" s="897"/>
      <c r="M10" s="897"/>
      <c r="N10" s="897"/>
      <c r="O10" s="897"/>
      <c r="P10" s="897"/>
      <c r="Q10" s="892">
        <f t="shared" si="0"/>
        <v>0</v>
      </c>
      <c r="R10" s="892"/>
      <c r="S10" s="899"/>
      <c r="T10" s="892"/>
      <c r="U10" s="899"/>
      <c r="V10" s="842"/>
      <c r="W10" s="892">
        <f t="shared" si="1"/>
        <v>0</v>
      </c>
    </row>
    <row r="11" spans="1:23">
      <c r="A11" s="889" t="s">
        <v>271</v>
      </c>
      <c r="B11" s="896"/>
      <c r="C11" s="897"/>
      <c r="D11" s="897"/>
      <c r="E11" s="897"/>
      <c r="F11" s="897"/>
      <c r="G11" s="897"/>
      <c r="H11" s="897"/>
      <c r="I11" s="897"/>
      <c r="J11" s="897"/>
      <c r="K11" s="897"/>
      <c r="L11" s="897"/>
      <c r="M11" s="897"/>
      <c r="N11" s="897"/>
      <c r="O11" s="897"/>
      <c r="P11" s="897"/>
      <c r="Q11" s="892">
        <f t="shared" si="0"/>
        <v>0</v>
      </c>
      <c r="R11" s="892"/>
      <c r="S11" s="899"/>
      <c r="T11" s="892"/>
      <c r="U11" s="899"/>
      <c r="V11" s="842"/>
      <c r="W11" s="892">
        <f t="shared" si="1"/>
        <v>0</v>
      </c>
    </row>
    <row r="12" spans="1:23">
      <c r="A12" s="889" t="s">
        <v>271</v>
      </c>
      <c r="B12" s="896"/>
      <c r="C12" s="897"/>
      <c r="D12" s="897"/>
      <c r="E12" s="897"/>
      <c r="F12" s="897"/>
      <c r="G12" s="897"/>
      <c r="H12" s="897"/>
      <c r="I12" s="897"/>
      <c r="J12" s="897"/>
      <c r="K12" s="897"/>
      <c r="L12" s="897"/>
      <c r="M12" s="897"/>
      <c r="N12" s="897"/>
      <c r="O12" s="897"/>
      <c r="P12" s="897"/>
      <c r="Q12" s="892">
        <f t="shared" si="0"/>
        <v>0</v>
      </c>
      <c r="R12" s="892"/>
      <c r="S12" s="899"/>
      <c r="T12" s="892"/>
      <c r="U12" s="899"/>
      <c r="V12" s="842"/>
      <c r="W12" s="892">
        <f t="shared" si="1"/>
        <v>0</v>
      </c>
    </row>
    <row r="13" spans="1:23">
      <c r="A13" s="889" t="s">
        <v>271</v>
      </c>
      <c r="B13" s="896"/>
      <c r="C13" s="897"/>
      <c r="D13" s="897"/>
      <c r="E13" s="897"/>
      <c r="F13" s="897"/>
      <c r="G13" s="897"/>
      <c r="H13" s="897"/>
      <c r="I13" s="897"/>
      <c r="J13" s="897"/>
      <c r="K13" s="897"/>
      <c r="L13" s="897"/>
      <c r="M13" s="897"/>
      <c r="N13" s="897"/>
      <c r="O13" s="897"/>
      <c r="P13" s="897"/>
      <c r="Q13" s="892">
        <f t="shared" si="0"/>
        <v>0</v>
      </c>
      <c r="R13" s="892"/>
      <c r="S13" s="899"/>
      <c r="T13" s="892"/>
      <c r="U13" s="899"/>
      <c r="V13" s="842"/>
      <c r="W13" s="892">
        <f t="shared" si="1"/>
        <v>0</v>
      </c>
    </row>
    <row r="14" spans="1:23">
      <c r="A14" s="889" t="s">
        <v>271</v>
      </c>
      <c r="B14" s="896"/>
      <c r="C14" s="897"/>
      <c r="D14" s="897"/>
      <c r="E14" s="897"/>
      <c r="F14" s="897"/>
      <c r="G14" s="897"/>
      <c r="H14" s="897"/>
      <c r="I14" s="897"/>
      <c r="J14" s="897"/>
      <c r="K14" s="897"/>
      <c r="L14" s="897"/>
      <c r="M14" s="897"/>
      <c r="N14" s="897"/>
      <c r="O14" s="897"/>
      <c r="P14" s="897"/>
      <c r="Q14" s="892">
        <f t="shared" si="0"/>
        <v>0</v>
      </c>
      <c r="R14" s="892"/>
      <c r="S14" s="899"/>
      <c r="T14" s="892"/>
      <c r="U14" s="899"/>
      <c r="V14" s="842"/>
      <c r="W14" s="892">
        <f t="shared" si="1"/>
        <v>0</v>
      </c>
    </row>
    <row r="15" spans="1:23">
      <c r="A15" s="889" t="s">
        <v>271</v>
      </c>
      <c r="B15" s="896"/>
      <c r="C15" s="897"/>
      <c r="D15" s="897"/>
      <c r="E15" s="897"/>
      <c r="F15" s="897"/>
      <c r="G15" s="897"/>
      <c r="H15" s="897"/>
      <c r="I15" s="897"/>
      <c r="J15" s="897"/>
      <c r="K15" s="897"/>
      <c r="L15" s="897"/>
      <c r="M15" s="897"/>
      <c r="N15" s="897"/>
      <c r="O15" s="897"/>
      <c r="P15" s="897"/>
      <c r="Q15" s="892">
        <f t="shared" si="0"/>
        <v>0</v>
      </c>
      <c r="R15" s="892"/>
      <c r="S15" s="899"/>
      <c r="T15" s="892"/>
      <c r="U15" s="899"/>
      <c r="V15" s="842"/>
      <c r="W15" s="892">
        <f t="shared" si="1"/>
        <v>0</v>
      </c>
    </row>
    <row r="16" spans="1:23">
      <c r="A16" s="889" t="s">
        <v>271</v>
      </c>
      <c r="B16" s="896"/>
      <c r="C16" s="897"/>
      <c r="D16" s="897"/>
      <c r="E16" s="897"/>
      <c r="F16" s="897"/>
      <c r="G16" s="897"/>
      <c r="H16" s="897"/>
      <c r="I16" s="897"/>
      <c r="J16" s="897"/>
      <c r="K16" s="897"/>
      <c r="L16" s="897"/>
      <c r="M16" s="897"/>
      <c r="N16" s="897"/>
      <c r="O16" s="897"/>
      <c r="P16" s="897"/>
      <c r="Q16" s="892">
        <f t="shared" si="0"/>
        <v>0</v>
      </c>
      <c r="R16" s="892"/>
      <c r="S16" s="899"/>
      <c r="T16" s="892"/>
      <c r="U16" s="899"/>
      <c r="V16" s="842"/>
      <c r="W16" s="892">
        <f t="shared" si="1"/>
        <v>0</v>
      </c>
    </row>
    <row r="17" spans="1:23">
      <c r="A17" s="889" t="s">
        <v>271</v>
      </c>
      <c r="B17" s="896"/>
      <c r="C17" s="897"/>
      <c r="D17" s="897"/>
      <c r="E17" s="897"/>
      <c r="F17" s="897"/>
      <c r="G17" s="897"/>
      <c r="H17" s="897"/>
      <c r="I17" s="897"/>
      <c r="J17" s="897"/>
      <c r="K17" s="897"/>
      <c r="L17" s="897"/>
      <c r="M17" s="897"/>
      <c r="N17" s="897"/>
      <c r="O17" s="897"/>
      <c r="P17" s="897"/>
      <c r="Q17" s="892">
        <f t="shared" si="0"/>
        <v>0</v>
      </c>
      <c r="R17" s="892"/>
      <c r="S17" s="899"/>
      <c r="T17" s="892"/>
      <c r="U17" s="899"/>
      <c r="V17" s="842"/>
      <c r="W17" s="892">
        <f t="shared" si="1"/>
        <v>0</v>
      </c>
    </row>
    <row r="18" spans="1:23">
      <c r="A18" s="889" t="s">
        <v>271</v>
      </c>
      <c r="B18" s="896"/>
      <c r="C18" s="897"/>
      <c r="D18" s="897"/>
      <c r="E18" s="897"/>
      <c r="F18" s="897"/>
      <c r="G18" s="897"/>
      <c r="H18" s="897"/>
      <c r="I18" s="897"/>
      <c r="J18" s="897"/>
      <c r="K18" s="897"/>
      <c r="L18" s="897"/>
      <c r="M18" s="897"/>
      <c r="N18" s="897"/>
      <c r="O18" s="897"/>
      <c r="P18" s="897"/>
      <c r="Q18" s="892">
        <f t="shared" si="0"/>
        <v>0</v>
      </c>
      <c r="R18" s="892"/>
      <c r="S18" s="899"/>
      <c r="T18" s="892"/>
      <c r="U18" s="899"/>
      <c r="V18" s="842"/>
      <c r="W18" s="892">
        <f t="shared" si="1"/>
        <v>0</v>
      </c>
    </row>
    <row r="19" spans="1:23">
      <c r="A19" s="889" t="s">
        <v>271</v>
      </c>
      <c r="B19" s="896"/>
      <c r="C19" s="897"/>
      <c r="D19" s="897"/>
      <c r="E19" s="897"/>
      <c r="F19" s="897"/>
      <c r="G19" s="897"/>
      <c r="H19" s="897"/>
      <c r="I19" s="897"/>
      <c r="J19" s="897"/>
      <c r="K19" s="897"/>
      <c r="L19" s="897"/>
      <c r="M19" s="897"/>
      <c r="N19" s="897"/>
      <c r="O19" s="897"/>
      <c r="P19" s="897"/>
      <c r="Q19" s="892">
        <f t="shared" si="0"/>
        <v>0</v>
      </c>
      <c r="R19" s="892"/>
      <c r="S19" s="899"/>
      <c r="T19" s="892"/>
      <c r="U19" s="899"/>
      <c r="V19" s="842"/>
      <c r="W19" s="892">
        <f t="shared" si="1"/>
        <v>0</v>
      </c>
    </row>
    <row r="20" spans="1:23">
      <c r="A20" s="889" t="s">
        <v>271</v>
      </c>
      <c r="B20" s="896"/>
      <c r="C20" s="897"/>
      <c r="D20" s="897"/>
      <c r="E20" s="897"/>
      <c r="F20" s="897"/>
      <c r="G20" s="897"/>
      <c r="H20" s="897"/>
      <c r="I20" s="897"/>
      <c r="J20" s="897"/>
      <c r="K20" s="897"/>
      <c r="L20" s="897"/>
      <c r="M20" s="897"/>
      <c r="N20" s="897"/>
      <c r="O20" s="897"/>
      <c r="P20" s="897"/>
      <c r="Q20" s="892">
        <f t="shared" si="0"/>
        <v>0</v>
      </c>
      <c r="R20" s="892"/>
      <c r="S20" s="899"/>
      <c r="T20" s="892"/>
      <c r="U20" s="899"/>
      <c r="V20" s="842"/>
      <c r="W20" s="892">
        <f t="shared" si="1"/>
        <v>0</v>
      </c>
    </row>
    <row r="21" spans="1:23">
      <c r="A21" s="889" t="s">
        <v>271</v>
      </c>
      <c r="B21" s="896"/>
      <c r="C21" s="897"/>
      <c r="D21" s="897"/>
      <c r="E21" s="897"/>
      <c r="F21" s="897"/>
      <c r="G21" s="897"/>
      <c r="H21" s="897"/>
      <c r="I21" s="897"/>
      <c r="J21" s="897"/>
      <c r="K21" s="897"/>
      <c r="L21" s="897"/>
      <c r="M21" s="897"/>
      <c r="N21" s="897"/>
      <c r="O21" s="897"/>
      <c r="P21" s="897"/>
      <c r="Q21" s="892">
        <f t="shared" si="0"/>
        <v>0</v>
      </c>
      <c r="R21" s="892"/>
      <c r="S21" s="899"/>
      <c r="T21" s="892"/>
      <c r="U21" s="899"/>
      <c r="V21" s="842"/>
      <c r="W21" s="892">
        <f t="shared" si="1"/>
        <v>0</v>
      </c>
    </row>
    <row r="22" spans="1:23">
      <c r="A22" s="889" t="s">
        <v>271</v>
      </c>
      <c r="B22" s="896"/>
      <c r="C22" s="897"/>
      <c r="D22" s="897"/>
      <c r="E22" s="897"/>
      <c r="F22" s="897"/>
      <c r="G22" s="897"/>
      <c r="H22" s="897"/>
      <c r="I22" s="897"/>
      <c r="J22" s="897"/>
      <c r="K22" s="897"/>
      <c r="L22" s="897"/>
      <c r="M22" s="897"/>
      <c r="N22" s="897"/>
      <c r="O22" s="897"/>
      <c r="P22" s="897"/>
      <c r="Q22" s="892">
        <f t="shared" si="0"/>
        <v>0</v>
      </c>
      <c r="R22" s="892"/>
      <c r="S22" s="899"/>
      <c r="T22" s="892"/>
      <c r="U22" s="899"/>
      <c r="V22" s="842"/>
      <c r="W22" s="892">
        <f t="shared" si="1"/>
        <v>0</v>
      </c>
    </row>
    <row r="23" spans="1:23">
      <c r="A23" s="889" t="s">
        <v>271</v>
      </c>
      <c r="B23" s="896"/>
      <c r="C23" s="897"/>
      <c r="D23" s="897"/>
      <c r="E23" s="897"/>
      <c r="F23" s="897"/>
      <c r="G23" s="897"/>
      <c r="H23" s="897"/>
      <c r="I23" s="897"/>
      <c r="J23" s="897"/>
      <c r="K23" s="897"/>
      <c r="L23" s="897"/>
      <c r="M23" s="897"/>
      <c r="N23" s="897"/>
      <c r="O23" s="897"/>
      <c r="P23" s="897"/>
      <c r="Q23" s="892">
        <f t="shared" si="0"/>
        <v>0</v>
      </c>
      <c r="R23" s="892"/>
      <c r="S23" s="899"/>
      <c r="T23" s="892"/>
      <c r="U23" s="899"/>
      <c r="V23" s="842"/>
      <c r="W23" s="892">
        <f t="shared" si="1"/>
        <v>0</v>
      </c>
    </row>
    <row r="24" spans="1:23">
      <c r="A24" s="889" t="s">
        <v>271</v>
      </c>
      <c r="B24" s="896"/>
      <c r="C24" s="897"/>
      <c r="D24" s="897"/>
      <c r="E24" s="897"/>
      <c r="F24" s="897"/>
      <c r="G24" s="897"/>
      <c r="H24" s="897"/>
      <c r="I24" s="897"/>
      <c r="J24" s="897"/>
      <c r="K24" s="897"/>
      <c r="L24" s="897"/>
      <c r="M24" s="897"/>
      <c r="N24" s="897"/>
      <c r="O24" s="897"/>
      <c r="P24" s="897"/>
      <c r="Q24" s="892">
        <f t="shared" si="0"/>
        <v>0</v>
      </c>
      <c r="R24" s="892"/>
      <c r="S24" s="899"/>
      <c r="T24" s="892"/>
      <c r="U24" s="899"/>
      <c r="V24" s="842"/>
      <c r="W24" s="892">
        <f t="shared" si="1"/>
        <v>0</v>
      </c>
    </row>
    <row r="25" spans="1:23">
      <c r="A25" s="889" t="s">
        <v>271</v>
      </c>
      <c r="B25" s="896"/>
      <c r="C25" s="897"/>
      <c r="D25" s="897"/>
      <c r="E25" s="897"/>
      <c r="F25" s="897"/>
      <c r="G25" s="897"/>
      <c r="H25" s="897"/>
      <c r="I25" s="897"/>
      <c r="J25" s="897"/>
      <c r="K25" s="897"/>
      <c r="L25" s="897"/>
      <c r="M25" s="897"/>
      <c r="N25" s="897"/>
      <c r="O25" s="897"/>
      <c r="P25" s="897"/>
      <c r="Q25" s="892">
        <f t="shared" si="0"/>
        <v>0</v>
      </c>
      <c r="R25" s="892"/>
      <c r="S25" s="899"/>
      <c r="T25" s="892"/>
      <c r="U25" s="899"/>
      <c r="V25" s="842"/>
      <c r="W25" s="892">
        <f t="shared" si="1"/>
        <v>0</v>
      </c>
    </row>
    <row r="26" spans="1:23">
      <c r="A26" s="889" t="s">
        <v>271</v>
      </c>
      <c r="B26" s="896"/>
      <c r="C26" s="897"/>
      <c r="D26" s="897"/>
      <c r="E26" s="897"/>
      <c r="F26" s="897"/>
      <c r="G26" s="897"/>
      <c r="H26" s="897"/>
      <c r="I26" s="897"/>
      <c r="J26" s="897"/>
      <c r="K26" s="897"/>
      <c r="L26" s="897"/>
      <c r="M26" s="897"/>
      <c r="N26" s="897"/>
      <c r="O26" s="897"/>
      <c r="P26" s="897"/>
      <c r="Q26" s="892">
        <f t="shared" si="0"/>
        <v>0</v>
      </c>
      <c r="R26" s="892"/>
      <c r="S26" s="899"/>
      <c r="T26" s="892"/>
      <c r="U26" s="899"/>
      <c r="V26" s="842"/>
      <c r="W26" s="892">
        <f t="shared" si="1"/>
        <v>0</v>
      </c>
    </row>
    <row r="27" spans="1:23">
      <c r="A27" s="889" t="s">
        <v>271</v>
      </c>
      <c r="B27" s="896"/>
      <c r="C27" s="897"/>
      <c r="D27" s="897"/>
      <c r="E27" s="897"/>
      <c r="F27" s="897"/>
      <c r="G27" s="897"/>
      <c r="H27" s="897"/>
      <c r="I27" s="897"/>
      <c r="J27" s="897"/>
      <c r="K27" s="897"/>
      <c r="L27" s="897"/>
      <c r="M27" s="897"/>
      <c r="N27" s="897"/>
      <c r="O27" s="897"/>
      <c r="P27" s="897"/>
      <c r="Q27" s="892">
        <f t="shared" si="0"/>
        <v>0</v>
      </c>
      <c r="R27" s="892"/>
      <c r="S27" s="899"/>
      <c r="T27" s="892"/>
      <c r="U27" s="899"/>
      <c r="V27" s="842"/>
      <c r="W27" s="892">
        <f t="shared" si="1"/>
        <v>0</v>
      </c>
    </row>
    <row r="28" spans="1:23">
      <c r="A28" s="889" t="s">
        <v>271</v>
      </c>
      <c r="B28" s="896"/>
      <c r="C28" s="897"/>
      <c r="D28" s="897"/>
      <c r="E28" s="897"/>
      <c r="F28" s="897"/>
      <c r="G28" s="897"/>
      <c r="H28" s="897"/>
      <c r="I28" s="897"/>
      <c r="J28" s="897"/>
      <c r="K28" s="897"/>
      <c r="L28" s="897"/>
      <c r="M28" s="897"/>
      <c r="N28" s="897"/>
      <c r="O28" s="897"/>
      <c r="P28" s="897"/>
      <c r="Q28" s="892">
        <f t="shared" si="0"/>
        <v>0</v>
      </c>
      <c r="R28" s="892"/>
      <c r="S28" s="899"/>
      <c r="T28" s="892"/>
      <c r="U28" s="899"/>
      <c r="V28" s="842"/>
      <c r="W28" s="892">
        <f t="shared" si="1"/>
        <v>0</v>
      </c>
    </row>
    <row r="29" spans="1:23">
      <c r="A29" s="889" t="s">
        <v>271</v>
      </c>
      <c r="B29" s="896"/>
      <c r="C29" s="897"/>
      <c r="D29" s="897"/>
      <c r="E29" s="897"/>
      <c r="F29" s="897"/>
      <c r="G29" s="897"/>
      <c r="H29" s="897"/>
      <c r="I29" s="897"/>
      <c r="J29" s="897"/>
      <c r="K29" s="897"/>
      <c r="L29" s="897"/>
      <c r="M29" s="897"/>
      <c r="N29" s="897"/>
      <c r="O29" s="897"/>
      <c r="P29" s="897"/>
      <c r="Q29" s="892">
        <f t="shared" si="0"/>
        <v>0</v>
      </c>
      <c r="R29" s="892"/>
      <c r="S29" s="899"/>
      <c r="T29" s="892"/>
      <c r="U29" s="899"/>
      <c r="V29" s="842"/>
      <c r="W29" s="892">
        <f t="shared" si="1"/>
        <v>0</v>
      </c>
    </row>
    <row r="30" spans="1:23">
      <c r="A30" s="889" t="s">
        <v>271</v>
      </c>
      <c r="B30" s="896"/>
      <c r="C30" s="897"/>
      <c r="D30" s="897"/>
      <c r="E30" s="897"/>
      <c r="F30" s="897"/>
      <c r="G30" s="897"/>
      <c r="H30" s="897"/>
      <c r="I30" s="897"/>
      <c r="J30" s="897"/>
      <c r="K30" s="897"/>
      <c r="L30" s="897"/>
      <c r="M30" s="897"/>
      <c r="N30" s="897"/>
      <c r="O30" s="897"/>
      <c r="P30" s="897"/>
      <c r="Q30" s="892">
        <f t="shared" si="0"/>
        <v>0</v>
      </c>
      <c r="R30" s="892"/>
      <c r="S30" s="899"/>
      <c r="T30" s="892"/>
      <c r="U30" s="899"/>
      <c r="V30" s="842"/>
      <c r="W30" s="892">
        <f t="shared" si="1"/>
        <v>0</v>
      </c>
    </row>
    <row r="31" spans="1:23">
      <c r="A31" s="889" t="s">
        <v>273</v>
      </c>
      <c r="B31" s="896"/>
      <c r="C31" s="897"/>
      <c r="D31" s="897"/>
      <c r="E31" s="897"/>
      <c r="F31" s="897"/>
      <c r="G31" s="897"/>
      <c r="H31" s="897"/>
      <c r="I31" s="897"/>
      <c r="J31" s="897"/>
      <c r="K31" s="897"/>
      <c r="L31" s="897"/>
      <c r="M31" s="897"/>
      <c r="N31" s="897"/>
      <c r="O31" s="897"/>
      <c r="P31" s="897"/>
      <c r="Q31" s="892">
        <f t="shared" si="0"/>
        <v>0</v>
      </c>
      <c r="R31" s="892"/>
      <c r="S31" s="899"/>
      <c r="T31" s="892"/>
      <c r="U31" s="899"/>
      <c r="V31" s="842"/>
      <c r="W31" s="892">
        <f t="shared" si="1"/>
        <v>0</v>
      </c>
    </row>
    <row r="32" spans="1:23" ht="15" customHeight="1">
      <c r="A32" s="783">
        <v>2</v>
      </c>
      <c r="E32" s="900"/>
      <c r="F32" s="900"/>
      <c r="G32" s="900"/>
      <c r="H32" s="900"/>
      <c r="I32" s="900"/>
      <c r="J32" s="900"/>
      <c r="K32" s="900"/>
      <c r="L32" s="900"/>
      <c r="M32" s="900"/>
      <c r="N32" s="1107" t="s">
        <v>947</v>
      </c>
      <c r="O32" s="1107"/>
      <c r="P32" s="1107"/>
      <c r="Q32" s="901">
        <f>SUM(Q7:Q31)</f>
        <v>0</v>
      </c>
      <c r="R32" s="902"/>
      <c r="S32" s="1107" t="s">
        <v>948</v>
      </c>
      <c r="T32" s="1107"/>
      <c r="U32" s="1107"/>
      <c r="V32" s="1107"/>
      <c r="W32" s="903">
        <f>SUM(W7:W31)</f>
        <v>0</v>
      </c>
    </row>
    <row r="33" spans="1:26">
      <c r="C33" s="880" t="s">
        <v>927</v>
      </c>
      <c r="E33" s="880"/>
      <c r="V33" s="877"/>
      <c r="W33" s="862"/>
    </row>
    <row r="34" spans="1:26" ht="12.2" customHeight="1">
      <c r="B34" s="904" t="s">
        <v>47</v>
      </c>
      <c r="C34" s="1106" t="s">
        <v>949</v>
      </c>
      <c r="D34" s="1106"/>
      <c r="E34" s="1106"/>
      <c r="F34" s="1106"/>
      <c r="G34" s="1106"/>
      <c r="H34" s="1106"/>
      <c r="I34" s="1106"/>
      <c r="J34" s="1106"/>
      <c r="K34" s="905"/>
      <c r="L34" s="906"/>
      <c r="M34" s="906"/>
      <c r="N34" s="906"/>
      <c r="O34" s="906"/>
      <c r="P34" s="906"/>
      <c r="Q34" s="906"/>
      <c r="R34" s="906"/>
      <c r="S34" s="906"/>
      <c r="T34" s="906"/>
      <c r="U34" s="906"/>
      <c r="V34" s="906"/>
      <c r="W34" s="906"/>
      <c r="X34" s="907"/>
      <c r="Y34" s="907"/>
    </row>
    <row r="35" spans="1:26" ht="12.2" customHeight="1">
      <c r="B35" s="904"/>
      <c r="C35" s="1106"/>
      <c r="D35" s="1106"/>
      <c r="E35" s="1106"/>
      <c r="F35" s="1106"/>
      <c r="G35" s="1106"/>
      <c r="H35" s="1106"/>
      <c r="I35" s="1106"/>
      <c r="J35" s="1106"/>
      <c r="L35" s="906"/>
      <c r="M35" s="906"/>
      <c r="N35" s="906"/>
      <c r="O35" s="906"/>
      <c r="P35" s="906"/>
      <c r="Q35" s="906"/>
      <c r="R35" s="906"/>
      <c r="S35" s="906"/>
      <c r="T35" s="906"/>
      <c r="U35" s="906"/>
      <c r="V35" s="906"/>
      <c r="W35" s="906"/>
      <c r="X35" s="907"/>
      <c r="Y35" s="908"/>
    </row>
    <row r="36" spans="1:26">
      <c r="B36" s="904"/>
      <c r="C36" s="1106"/>
      <c r="D36" s="1106"/>
      <c r="E36" s="1106"/>
      <c r="F36" s="1106"/>
      <c r="G36" s="1106"/>
      <c r="H36" s="1106"/>
      <c r="I36" s="1106"/>
      <c r="J36" s="1106"/>
      <c r="K36" s="909"/>
      <c r="L36" s="906"/>
      <c r="M36" s="906"/>
      <c r="N36" s="906"/>
      <c r="O36" s="906"/>
      <c r="P36" s="906"/>
      <c r="Q36" s="906"/>
      <c r="R36" s="906"/>
      <c r="S36" s="906"/>
      <c r="T36" s="906"/>
      <c r="U36" s="906"/>
      <c r="V36" s="906"/>
      <c r="W36" s="906"/>
      <c r="X36" s="907"/>
      <c r="Y36" s="908"/>
      <c r="Z36" s="908"/>
    </row>
    <row r="37" spans="1:26" ht="11.25" customHeight="1">
      <c r="A37" s="904"/>
      <c r="C37" s="1106"/>
      <c r="D37" s="1106"/>
      <c r="E37" s="1106"/>
      <c r="F37" s="1106"/>
      <c r="G37" s="1106"/>
      <c r="H37" s="1106"/>
      <c r="I37" s="1106"/>
      <c r="J37" s="1106"/>
      <c r="K37" s="783"/>
      <c r="L37" s="783"/>
      <c r="M37" s="783"/>
      <c r="N37" s="783"/>
      <c r="O37" s="783"/>
      <c r="P37" s="783"/>
      <c r="Q37" s="783"/>
      <c r="R37" s="783"/>
      <c r="S37" s="783"/>
      <c r="T37" s="783"/>
      <c r="U37" s="783"/>
    </row>
    <row r="38" spans="1:26" ht="11.25" customHeight="1">
      <c r="A38" s="904"/>
      <c r="C38" s="1106"/>
      <c r="D38" s="1106"/>
      <c r="E38" s="1106"/>
      <c r="F38" s="1106"/>
      <c r="G38" s="1106"/>
      <c r="H38" s="1106"/>
      <c r="I38" s="1106"/>
      <c r="J38" s="1106"/>
      <c r="K38" s="783"/>
      <c r="L38" s="783"/>
      <c r="M38" s="783"/>
      <c r="N38" s="783"/>
      <c r="O38" s="783"/>
      <c r="P38" s="783"/>
      <c r="Q38" s="783"/>
      <c r="R38" s="783"/>
      <c r="S38" s="783"/>
      <c r="T38" s="783"/>
      <c r="U38" s="783"/>
    </row>
    <row r="39" spans="1:26" ht="11.25" customHeight="1">
      <c r="A39" s="904"/>
      <c r="C39" s="1106"/>
      <c r="D39" s="1106"/>
      <c r="E39" s="1106"/>
      <c r="F39" s="1106"/>
      <c r="G39" s="1106"/>
      <c r="H39" s="1106"/>
      <c r="I39" s="1106"/>
      <c r="J39" s="1106"/>
      <c r="K39" s="783"/>
      <c r="L39" s="783"/>
      <c r="M39" s="783"/>
      <c r="N39" s="783"/>
      <c r="O39" s="783"/>
      <c r="P39" s="783"/>
      <c r="Q39" s="783"/>
      <c r="R39" s="783"/>
      <c r="S39" s="783"/>
      <c r="T39" s="783"/>
      <c r="U39" s="783"/>
    </row>
    <row r="40" spans="1:26" ht="11.25" customHeight="1">
      <c r="A40" s="880"/>
      <c r="C40" s="1106"/>
      <c r="D40" s="1106"/>
      <c r="E40" s="1106"/>
      <c r="F40" s="1106"/>
      <c r="G40" s="1106"/>
      <c r="H40" s="1106"/>
      <c r="I40" s="1106"/>
      <c r="J40" s="1106"/>
      <c r="K40" s="783"/>
      <c r="L40" s="783"/>
      <c r="M40" s="783"/>
      <c r="N40" s="783"/>
      <c r="O40" s="783"/>
      <c r="P40" s="783"/>
      <c r="Q40" s="783"/>
      <c r="R40" s="783"/>
      <c r="S40" s="783"/>
      <c r="T40" s="783"/>
      <c r="U40" s="783"/>
    </row>
    <row r="41" spans="1:26">
      <c r="A41" s="880"/>
    </row>
    <row r="42" spans="1:26">
      <c r="A42" s="880"/>
    </row>
    <row r="43" spans="1:26">
      <c r="A43" s="880"/>
    </row>
    <row r="44" spans="1:26">
      <c r="A44" s="880"/>
    </row>
  </sheetData>
  <mergeCells count="17">
    <mergeCell ref="C34:J40"/>
    <mergeCell ref="T5:T6"/>
    <mergeCell ref="U5:U6"/>
    <mergeCell ref="V5:V6"/>
    <mergeCell ref="W5:W6"/>
    <mergeCell ref="N32:P32"/>
    <mergeCell ref="S32:V32"/>
    <mergeCell ref="A1:K1"/>
    <mergeCell ref="L1:W1"/>
    <mergeCell ref="A2:K2"/>
    <mergeCell ref="L2:W2"/>
    <mergeCell ref="A5:A6"/>
    <mergeCell ref="B5:B6"/>
    <mergeCell ref="C5:C6"/>
    <mergeCell ref="Q5:Q6"/>
    <mergeCell ref="R5:R6"/>
    <mergeCell ref="S5:S6"/>
  </mergeCells>
  <pageMargins left="0.7" right="0.7" top="0.75" bottom="0.75" header="0.3" footer="0.3"/>
  <pageSetup scale="56" orientation="landscape" r:id="rId1"/>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C9797-96BF-453F-8D25-8FCAF609F422}">
  <sheetPr>
    <pageSetUpPr fitToPage="1"/>
  </sheetPr>
  <dimension ref="A1:AE46"/>
  <sheetViews>
    <sheetView view="pageBreakPreview" zoomScaleNormal="100" zoomScaleSheetLayoutView="100" workbookViewId="0">
      <selection sqref="A1:G1"/>
    </sheetView>
  </sheetViews>
  <sheetFormatPr defaultColWidth="7" defaultRowHeight="15.75"/>
  <cols>
    <col min="1" max="1" width="3.44140625" style="779" bestFit="1" customWidth="1"/>
    <col min="2" max="2" width="2.77734375" style="779" customWidth="1"/>
    <col min="3" max="3" width="21.44140625" style="779" customWidth="1"/>
    <col min="4" max="4" width="9.77734375" style="779" customWidth="1"/>
    <col min="5" max="5" width="10.44140625" style="779" customWidth="1"/>
    <col min="6" max="6" width="9" style="779" customWidth="1"/>
    <col min="7" max="7" width="13.44140625" style="779" customWidth="1"/>
    <col min="8" max="17" width="11.44140625" style="779" customWidth="1"/>
    <col min="18" max="18" width="11.44140625" style="781" customWidth="1"/>
    <col min="19" max="19" width="11.44140625" style="784" customWidth="1"/>
    <col min="20" max="20" width="11.44140625" style="815" customWidth="1"/>
    <col min="21" max="21" width="14" style="806" customWidth="1"/>
    <col min="22" max="22" width="2.44140625" style="912" customWidth="1"/>
    <col min="23" max="23" width="10" style="779" customWidth="1"/>
    <col min="24" max="24" width="3.109375" style="912" customWidth="1"/>
    <col min="25" max="25" width="14.77734375" style="779" customWidth="1"/>
    <col min="26" max="26" width="8" style="779" customWidth="1"/>
    <col min="27" max="27" width="1.109375" style="779" customWidth="1"/>
    <col min="28" max="28" width="8" style="779" customWidth="1"/>
    <col min="29" max="29" width="1.109375" style="779" customWidth="1"/>
    <col min="30" max="30" width="6.77734375" style="779" customWidth="1"/>
    <col min="31" max="31" width="1.44140625" style="779" customWidth="1"/>
    <col min="32" max="32" width="7" style="783" customWidth="1"/>
    <col min="33" max="16384" width="7" style="783"/>
  </cols>
  <sheetData>
    <row r="1" spans="1:31">
      <c r="B1" s="1090" t="s">
        <v>950</v>
      </c>
      <c r="C1" s="1090"/>
      <c r="D1" s="1090"/>
      <c r="E1" s="1090"/>
      <c r="F1" s="1090"/>
      <c r="G1" s="1090"/>
      <c r="H1" s="1090" t="s">
        <v>950</v>
      </c>
      <c r="I1" s="1090"/>
      <c r="J1" s="1090"/>
      <c r="K1" s="1090"/>
      <c r="L1" s="1090"/>
      <c r="M1" s="1090"/>
      <c r="N1" s="1090"/>
      <c r="O1" s="1090"/>
      <c r="P1" s="1090"/>
      <c r="Q1" s="1090"/>
      <c r="R1" s="1090"/>
      <c r="S1" s="1090"/>
      <c r="T1" s="1090"/>
      <c r="U1" s="1090" t="s">
        <v>950</v>
      </c>
      <c r="V1" s="1090"/>
      <c r="W1" s="1090"/>
      <c r="X1" s="1090"/>
      <c r="Y1" s="1090"/>
      <c r="Z1" s="1090"/>
      <c r="AA1" s="1090"/>
      <c r="AB1" s="2"/>
      <c r="AC1" s="2"/>
      <c r="AD1" s="2"/>
    </row>
    <row r="2" spans="1:31">
      <c r="B2" s="1013" t="str">
        <f>+'10 - Unfunded Reserves'!A2</f>
        <v>GridLiance West LLC (GLW)</v>
      </c>
      <c r="C2" s="1013"/>
      <c r="D2" s="1013"/>
      <c r="E2" s="1013"/>
      <c r="F2" s="1013"/>
      <c r="G2" s="1013"/>
      <c r="H2" s="1013" t="str">
        <f>+B2</f>
        <v>GridLiance West LLC (GLW)</v>
      </c>
      <c r="I2" s="1013"/>
      <c r="J2" s="1013"/>
      <c r="K2" s="1013"/>
      <c r="L2" s="1013"/>
      <c r="M2" s="1013"/>
      <c r="N2" s="1013"/>
      <c r="O2" s="1013"/>
      <c r="P2" s="1013"/>
      <c r="Q2" s="1013"/>
      <c r="R2" s="1013"/>
      <c r="S2" s="1013"/>
      <c r="T2" s="1013"/>
      <c r="U2" s="1013" t="str">
        <f>+H2</f>
        <v>GridLiance West LLC (GLW)</v>
      </c>
      <c r="V2" s="1013"/>
      <c r="W2" s="1013"/>
      <c r="X2" s="1013"/>
      <c r="Y2" s="1013"/>
      <c r="Z2" s="1013"/>
      <c r="AA2" s="1013"/>
      <c r="AB2" s="869"/>
      <c r="AC2" s="869"/>
      <c r="AD2" s="869"/>
    </row>
    <row r="3" spans="1:31">
      <c r="I3" s="910"/>
      <c r="J3" s="910"/>
      <c r="K3" s="911"/>
      <c r="L3" s="911"/>
      <c r="M3" s="911"/>
      <c r="N3" s="911"/>
      <c r="O3" s="911"/>
      <c r="P3" s="911"/>
      <c r="Q3" s="911"/>
      <c r="R3" s="911"/>
      <c r="S3" s="911"/>
      <c r="T3" s="911"/>
    </row>
    <row r="4" spans="1:31" s="788" customFormat="1">
      <c r="A4" s="817"/>
      <c r="B4" s="817"/>
      <c r="C4" s="817" t="s">
        <v>188</v>
      </c>
      <c r="D4" s="817" t="s">
        <v>523</v>
      </c>
      <c r="E4" s="817" t="s">
        <v>882</v>
      </c>
      <c r="F4" s="817" t="s">
        <v>525</v>
      </c>
      <c r="G4" s="817" t="s">
        <v>883</v>
      </c>
      <c r="H4" s="817" t="s">
        <v>527</v>
      </c>
      <c r="I4" s="817" t="s">
        <v>528</v>
      </c>
      <c r="J4" s="817" t="s">
        <v>529</v>
      </c>
      <c r="K4" s="817" t="s">
        <v>530</v>
      </c>
      <c r="L4" s="817" t="s">
        <v>531</v>
      </c>
      <c r="M4" s="817" t="s">
        <v>532</v>
      </c>
      <c r="N4" s="817" t="s">
        <v>533</v>
      </c>
      <c r="O4" s="817" t="s">
        <v>534</v>
      </c>
      <c r="P4" s="818" t="s">
        <v>535</v>
      </c>
      <c r="Q4" s="817" t="s">
        <v>536</v>
      </c>
      <c r="R4" s="819" t="s">
        <v>537</v>
      </c>
      <c r="S4" s="817" t="s">
        <v>538</v>
      </c>
      <c r="T4" s="817" t="s">
        <v>907</v>
      </c>
      <c r="U4" s="817" t="s">
        <v>540</v>
      </c>
      <c r="V4" s="817"/>
      <c r="W4" s="817" t="s">
        <v>541</v>
      </c>
      <c r="X4" s="817"/>
      <c r="Y4" s="817" t="s">
        <v>542</v>
      </c>
      <c r="Z4" s="817"/>
      <c r="AA4" s="817"/>
      <c r="AB4" s="817"/>
      <c r="AC4" s="817"/>
      <c r="AD4" s="817"/>
      <c r="AE4" s="817"/>
    </row>
    <row r="5" spans="1:31" s="791" customFormat="1" ht="41.25" customHeight="1">
      <c r="A5" s="1099" t="s">
        <v>52</v>
      </c>
      <c r="B5" s="822"/>
      <c r="C5" s="1099" t="s">
        <v>694</v>
      </c>
      <c r="D5" s="1099" t="s">
        <v>951</v>
      </c>
      <c r="E5" s="1099" t="s">
        <v>952</v>
      </c>
      <c r="F5" s="1099" t="s">
        <v>953</v>
      </c>
      <c r="G5" s="1099" t="s">
        <v>954</v>
      </c>
      <c r="H5" s="913" t="s">
        <v>888</v>
      </c>
      <c r="I5" s="821" t="s">
        <v>889</v>
      </c>
      <c r="J5" s="821" t="s">
        <v>890</v>
      </c>
      <c r="K5" s="821" t="s">
        <v>891</v>
      </c>
      <c r="L5" s="821" t="s">
        <v>894</v>
      </c>
      <c r="M5" s="821" t="s">
        <v>893</v>
      </c>
      <c r="N5" s="821" t="s">
        <v>915</v>
      </c>
      <c r="O5" s="821" t="s">
        <v>895</v>
      </c>
      <c r="P5" s="821" t="s">
        <v>896</v>
      </c>
      <c r="Q5" s="821" t="s">
        <v>897</v>
      </c>
      <c r="R5" s="821" t="s">
        <v>898</v>
      </c>
      <c r="S5" s="821" t="s">
        <v>899</v>
      </c>
      <c r="T5" s="821" t="s">
        <v>888</v>
      </c>
      <c r="U5" s="1099" t="s">
        <v>955</v>
      </c>
      <c r="V5" s="1099" t="s">
        <v>912</v>
      </c>
      <c r="W5" s="1099" t="s">
        <v>956</v>
      </c>
      <c r="X5" s="1099" t="s">
        <v>178</v>
      </c>
      <c r="Y5" s="1099" t="s">
        <v>957</v>
      </c>
      <c r="Z5" s="914"/>
      <c r="AA5" s="914"/>
      <c r="AB5" s="914"/>
      <c r="AC5" s="914"/>
      <c r="AD5" s="914"/>
      <c r="AE5" s="914"/>
    </row>
    <row r="6" spans="1:31" s="791" customFormat="1" ht="17.45" customHeight="1">
      <c r="A6" s="1096"/>
      <c r="B6" s="820"/>
      <c r="C6" s="1096"/>
      <c r="D6" s="1096"/>
      <c r="E6" s="1096" t="s">
        <v>952</v>
      </c>
      <c r="F6" s="1096"/>
      <c r="G6" s="1096"/>
      <c r="H6" s="887">
        <f>'10 - Unfunded Reserves'!D6</f>
        <v>2026</v>
      </c>
      <c r="I6" s="888">
        <f>'10 - Unfunded Reserves'!E6</f>
        <v>2027</v>
      </c>
      <c r="J6" s="888">
        <f>'10 - Unfunded Reserves'!F6</f>
        <v>2027</v>
      </c>
      <c r="K6" s="888">
        <f>'10 - Unfunded Reserves'!G6</f>
        <v>2027</v>
      </c>
      <c r="L6" s="888">
        <f>'10 - Unfunded Reserves'!H6</f>
        <v>2027</v>
      </c>
      <c r="M6" s="888">
        <f>'10 - Unfunded Reserves'!I6</f>
        <v>2027</v>
      </c>
      <c r="N6" s="888">
        <f>'10 - Unfunded Reserves'!J6</f>
        <v>2027</v>
      </c>
      <c r="O6" s="888">
        <f>'10 - Unfunded Reserves'!K6</f>
        <v>2027</v>
      </c>
      <c r="P6" s="888">
        <f>'10 - Unfunded Reserves'!L6</f>
        <v>2027</v>
      </c>
      <c r="Q6" s="888">
        <f>'10 - Unfunded Reserves'!M6</f>
        <v>2027</v>
      </c>
      <c r="R6" s="888">
        <f>'10 - Unfunded Reserves'!N6</f>
        <v>2027</v>
      </c>
      <c r="S6" s="888">
        <f>'10 - Unfunded Reserves'!O6</f>
        <v>2027</v>
      </c>
      <c r="T6" s="888">
        <f>'10 - Unfunded Reserves'!P6</f>
        <v>2027</v>
      </c>
      <c r="U6" s="1096"/>
      <c r="V6" s="1096"/>
      <c r="W6" s="1096"/>
      <c r="X6" s="1096"/>
      <c r="Y6" s="1096"/>
      <c r="Z6" s="914"/>
      <c r="AA6" s="914"/>
      <c r="AB6" s="914"/>
      <c r="AC6" s="914"/>
      <c r="AD6" s="914"/>
      <c r="AE6" s="914"/>
    </row>
    <row r="7" spans="1:31">
      <c r="A7" s="824">
        <v>1</v>
      </c>
      <c r="B7" s="915"/>
      <c r="C7" s="800" t="s">
        <v>958</v>
      </c>
      <c r="D7" s="916"/>
      <c r="E7" s="917"/>
      <c r="F7" s="918">
        <v>46934</v>
      </c>
      <c r="G7" s="919" t="s">
        <v>959</v>
      </c>
      <c r="H7" s="920">
        <v>867705281.09819472</v>
      </c>
      <c r="I7" s="920">
        <v>914913174.22628427</v>
      </c>
      <c r="J7" s="920">
        <v>965164800.65210235</v>
      </c>
      <c r="K7" s="920">
        <v>1008001210.6719371</v>
      </c>
      <c r="L7" s="920">
        <v>1044071402.6853017</v>
      </c>
      <c r="M7" s="920">
        <v>1069232420.2570348</v>
      </c>
      <c r="N7" s="920">
        <v>1089417408.3958123</v>
      </c>
      <c r="O7" s="920">
        <v>1108336508.7853928</v>
      </c>
      <c r="P7" s="920">
        <v>1128498352.1662953</v>
      </c>
      <c r="Q7" s="920">
        <v>1151501460.0957174</v>
      </c>
      <c r="R7" s="920">
        <v>1176391140.0143669</v>
      </c>
      <c r="S7" s="920">
        <v>1206552111.1576355</v>
      </c>
      <c r="T7" s="920">
        <v>360551210.67510766</v>
      </c>
      <c r="U7" s="796">
        <f>SUM(H7:T7)/13</f>
        <v>1006948960.0677832</v>
      </c>
      <c r="V7" s="921"/>
      <c r="W7" s="922">
        <v>1</v>
      </c>
      <c r="X7" s="921"/>
      <c r="Y7" s="923">
        <f t="shared" ref="Y7:Y31" si="0">U7*W7</f>
        <v>1006948960.0677832</v>
      </c>
    </row>
    <row r="8" spans="1:31">
      <c r="A8" s="824">
        <v>2</v>
      </c>
      <c r="B8" s="829"/>
      <c r="C8" s="800">
        <v>0</v>
      </c>
      <c r="D8" s="924"/>
      <c r="E8" s="925"/>
      <c r="F8" s="926">
        <v>0</v>
      </c>
      <c r="G8" s="926">
        <v>0</v>
      </c>
      <c r="H8" s="926">
        <v>0</v>
      </c>
      <c r="I8" s="926">
        <v>0</v>
      </c>
      <c r="J8" s="926">
        <v>0</v>
      </c>
      <c r="K8" s="926">
        <v>0</v>
      </c>
      <c r="L8" s="926">
        <v>0</v>
      </c>
      <c r="M8" s="926">
        <v>0</v>
      </c>
      <c r="N8" s="926">
        <v>0</v>
      </c>
      <c r="O8" s="926">
        <v>0</v>
      </c>
      <c r="P8" s="926">
        <v>0</v>
      </c>
      <c r="Q8" s="926">
        <v>0</v>
      </c>
      <c r="R8" s="926">
        <v>0</v>
      </c>
      <c r="S8" s="926">
        <v>0</v>
      </c>
      <c r="T8" s="926">
        <v>0</v>
      </c>
      <c r="U8" s="799">
        <f t="shared" ref="U8:U31" si="1">SUM(H8:T8)/13</f>
        <v>0</v>
      </c>
      <c r="V8" s="838"/>
      <c r="W8" s="927">
        <v>0</v>
      </c>
      <c r="X8" s="838"/>
      <c r="Y8" s="928">
        <f t="shared" si="0"/>
        <v>0</v>
      </c>
    </row>
    <row r="9" spans="1:31">
      <c r="A9" s="824">
        <v>3</v>
      </c>
      <c r="B9" s="829"/>
      <c r="C9" s="800">
        <v>0</v>
      </c>
      <c r="D9" s="924"/>
      <c r="E9" s="839"/>
      <c r="F9" s="926">
        <v>0</v>
      </c>
      <c r="G9" s="926">
        <v>0</v>
      </c>
      <c r="H9" s="926">
        <v>0</v>
      </c>
      <c r="I9" s="926">
        <v>0</v>
      </c>
      <c r="J9" s="926">
        <v>0</v>
      </c>
      <c r="K9" s="926">
        <v>0</v>
      </c>
      <c r="L9" s="926">
        <v>0</v>
      </c>
      <c r="M9" s="926">
        <v>0</v>
      </c>
      <c r="N9" s="926">
        <v>0</v>
      </c>
      <c r="O9" s="926">
        <v>0</v>
      </c>
      <c r="P9" s="926">
        <v>0</v>
      </c>
      <c r="Q9" s="926">
        <v>0</v>
      </c>
      <c r="R9" s="926">
        <v>0</v>
      </c>
      <c r="S9" s="926">
        <v>0</v>
      </c>
      <c r="T9" s="926">
        <v>0</v>
      </c>
      <c r="U9" s="799">
        <f t="shared" si="1"/>
        <v>0</v>
      </c>
      <c r="V9" s="838"/>
      <c r="W9" s="927">
        <v>0</v>
      </c>
      <c r="X9" s="838"/>
      <c r="Y9" s="928">
        <f t="shared" si="0"/>
        <v>0</v>
      </c>
    </row>
    <row r="10" spans="1:31">
      <c r="A10" s="824">
        <v>4</v>
      </c>
      <c r="B10" s="829"/>
      <c r="C10" s="800">
        <v>0</v>
      </c>
      <c r="D10" s="924"/>
      <c r="E10" s="839"/>
      <c r="F10" s="926">
        <v>0</v>
      </c>
      <c r="G10" s="926">
        <v>0</v>
      </c>
      <c r="H10" s="926">
        <v>0</v>
      </c>
      <c r="I10" s="926">
        <v>0</v>
      </c>
      <c r="J10" s="926">
        <v>0</v>
      </c>
      <c r="K10" s="926">
        <v>0</v>
      </c>
      <c r="L10" s="926">
        <v>0</v>
      </c>
      <c r="M10" s="926">
        <v>0</v>
      </c>
      <c r="N10" s="926">
        <v>0</v>
      </c>
      <c r="O10" s="926">
        <v>0</v>
      </c>
      <c r="P10" s="926">
        <v>0</v>
      </c>
      <c r="Q10" s="926">
        <v>0</v>
      </c>
      <c r="R10" s="926">
        <v>0</v>
      </c>
      <c r="S10" s="926">
        <v>0</v>
      </c>
      <c r="T10" s="926">
        <v>0</v>
      </c>
      <c r="U10" s="799">
        <f t="shared" si="1"/>
        <v>0</v>
      </c>
      <c r="V10" s="838"/>
      <c r="W10" s="927">
        <v>0</v>
      </c>
      <c r="X10" s="838"/>
      <c r="Y10" s="928">
        <f t="shared" si="0"/>
        <v>0</v>
      </c>
    </row>
    <row r="11" spans="1:31">
      <c r="A11" s="824">
        <v>5</v>
      </c>
      <c r="B11" s="829"/>
      <c r="C11" s="800">
        <v>0</v>
      </c>
      <c r="D11" s="924"/>
      <c r="E11" s="839"/>
      <c r="F11" s="926">
        <v>0</v>
      </c>
      <c r="G11" s="926">
        <v>0</v>
      </c>
      <c r="H11" s="926">
        <v>0</v>
      </c>
      <c r="I11" s="926">
        <v>0</v>
      </c>
      <c r="J11" s="926">
        <v>0</v>
      </c>
      <c r="K11" s="926">
        <v>0</v>
      </c>
      <c r="L11" s="926">
        <v>0</v>
      </c>
      <c r="M11" s="926">
        <v>0</v>
      </c>
      <c r="N11" s="926">
        <v>0</v>
      </c>
      <c r="O11" s="926">
        <v>0</v>
      </c>
      <c r="P11" s="926">
        <v>0</v>
      </c>
      <c r="Q11" s="926">
        <v>0</v>
      </c>
      <c r="R11" s="926">
        <v>0</v>
      </c>
      <c r="S11" s="926">
        <v>0</v>
      </c>
      <c r="T11" s="926">
        <v>0</v>
      </c>
      <c r="U11" s="799">
        <f t="shared" si="1"/>
        <v>0</v>
      </c>
      <c r="V11" s="838"/>
      <c r="W11" s="927">
        <v>0</v>
      </c>
      <c r="X11" s="838"/>
      <c r="Y11" s="928">
        <f t="shared" si="0"/>
        <v>0</v>
      </c>
    </row>
    <row r="12" spans="1:31">
      <c r="A12" s="824">
        <v>6</v>
      </c>
      <c r="B12" s="829"/>
      <c r="C12" s="924"/>
      <c r="D12" s="924"/>
      <c r="E12" s="839"/>
      <c r="F12" s="839"/>
      <c r="G12" s="834"/>
      <c r="H12" s="798"/>
      <c r="I12" s="798"/>
      <c r="J12" s="798"/>
      <c r="K12" s="798"/>
      <c r="L12" s="798"/>
      <c r="M12" s="798"/>
      <c r="N12" s="798"/>
      <c r="O12" s="798"/>
      <c r="P12" s="929"/>
      <c r="Q12" s="798"/>
      <c r="R12" s="930"/>
      <c r="S12" s="798"/>
      <c r="T12" s="929"/>
      <c r="U12" s="799">
        <f t="shared" si="1"/>
        <v>0</v>
      </c>
      <c r="V12" s="838"/>
      <c r="W12" s="931"/>
      <c r="X12" s="838"/>
      <c r="Y12" s="928">
        <f t="shared" si="0"/>
        <v>0</v>
      </c>
    </row>
    <row r="13" spans="1:31">
      <c r="A13" s="824">
        <v>7</v>
      </c>
      <c r="B13" s="829"/>
      <c r="C13" s="924"/>
      <c r="D13" s="924"/>
      <c r="E13" s="839"/>
      <c r="F13" s="839"/>
      <c r="G13" s="834"/>
      <c r="H13" s="798"/>
      <c r="I13" s="798"/>
      <c r="J13" s="798"/>
      <c r="K13" s="798"/>
      <c r="L13" s="798"/>
      <c r="M13" s="798"/>
      <c r="N13" s="798"/>
      <c r="O13" s="798"/>
      <c r="P13" s="929"/>
      <c r="Q13" s="798"/>
      <c r="R13" s="930"/>
      <c r="S13" s="798"/>
      <c r="T13" s="929"/>
      <c r="U13" s="799">
        <f t="shared" si="1"/>
        <v>0</v>
      </c>
      <c r="V13" s="838"/>
      <c r="W13" s="931"/>
      <c r="X13" s="838"/>
      <c r="Y13" s="928">
        <f t="shared" si="0"/>
        <v>0</v>
      </c>
    </row>
    <row r="14" spans="1:31">
      <c r="A14" s="824">
        <v>8</v>
      </c>
      <c r="B14" s="829"/>
      <c r="C14" s="924"/>
      <c r="D14" s="924"/>
      <c r="E14" s="839"/>
      <c r="F14" s="839"/>
      <c r="G14" s="834"/>
      <c r="H14" s="798"/>
      <c r="I14" s="798"/>
      <c r="J14" s="798"/>
      <c r="K14" s="798"/>
      <c r="L14" s="798"/>
      <c r="M14" s="798"/>
      <c r="N14" s="798"/>
      <c r="O14" s="798"/>
      <c r="P14" s="929"/>
      <c r="Q14" s="798"/>
      <c r="R14" s="930"/>
      <c r="S14" s="798"/>
      <c r="T14" s="929"/>
      <c r="U14" s="799">
        <f t="shared" si="1"/>
        <v>0</v>
      </c>
      <c r="V14" s="838"/>
      <c r="W14" s="931"/>
      <c r="X14" s="838"/>
      <c r="Y14" s="928">
        <f t="shared" si="0"/>
        <v>0</v>
      </c>
    </row>
    <row r="15" spans="1:31">
      <c r="A15" s="824">
        <v>9</v>
      </c>
      <c r="B15" s="829"/>
      <c r="C15" s="924"/>
      <c r="D15" s="924"/>
      <c r="E15" s="839"/>
      <c r="F15" s="839"/>
      <c r="G15" s="834"/>
      <c r="H15" s="798"/>
      <c r="I15" s="798"/>
      <c r="J15" s="798"/>
      <c r="K15" s="798"/>
      <c r="L15" s="798"/>
      <c r="M15" s="798"/>
      <c r="N15" s="798"/>
      <c r="O15" s="798"/>
      <c r="P15" s="929"/>
      <c r="Q15" s="798"/>
      <c r="R15" s="930"/>
      <c r="S15" s="798"/>
      <c r="T15" s="929"/>
      <c r="U15" s="799">
        <f t="shared" si="1"/>
        <v>0</v>
      </c>
      <c r="V15" s="838"/>
      <c r="W15" s="931"/>
      <c r="X15" s="838"/>
      <c r="Y15" s="928">
        <f t="shared" si="0"/>
        <v>0</v>
      </c>
    </row>
    <row r="16" spans="1:31">
      <c r="A16" s="824">
        <v>10</v>
      </c>
      <c r="B16" s="829"/>
      <c r="C16" s="924"/>
      <c r="D16" s="924"/>
      <c r="E16" s="839"/>
      <c r="F16" s="839"/>
      <c r="G16" s="834"/>
      <c r="H16" s="798"/>
      <c r="I16" s="798"/>
      <c r="J16" s="798"/>
      <c r="K16" s="798"/>
      <c r="L16" s="798"/>
      <c r="M16" s="798"/>
      <c r="N16" s="798"/>
      <c r="O16" s="798"/>
      <c r="P16" s="929"/>
      <c r="Q16" s="798"/>
      <c r="R16" s="930"/>
      <c r="S16" s="798"/>
      <c r="T16" s="929"/>
      <c r="U16" s="799">
        <f t="shared" si="1"/>
        <v>0</v>
      </c>
      <c r="V16" s="838"/>
      <c r="W16" s="931"/>
      <c r="X16" s="838"/>
      <c r="Y16" s="928">
        <f t="shared" si="0"/>
        <v>0</v>
      </c>
    </row>
    <row r="17" spans="1:31">
      <c r="A17" s="779">
        <v>11</v>
      </c>
      <c r="B17" s="829"/>
      <c r="C17" s="924"/>
      <c r="D17" s="924"/>
      <c r="E17" s="839"/>
      <c r="F17" s="839"/>
      <c r="G17" s="834"/>
      <c r="H17" s="798"/>
      <c r="I17" s="798"/>
      <c r="J17" s="798"/>
      <c r="K17" s="798"/>
      <c r="L17" s="798"/>
      <c r="M17" s="798"/>
      <c r="N17" s="798"/>
      <c r="O17" s="798"/>
      <c r="P17" s="929"/>
      <c r="Q17" s="798"/>
      <c r="R17" s="930"/>
      <c r="S17" s="798"/>
      <c r="T17" s="929"/>
      <c r="U17" s="799">
        <f t="shared" si="1"/>
        <v>0</v>
      </c>
      <c r="V17" s="838"/>
      <c r="W17" s="931"/>
      <c r="X17" s="838"/>
      <c r="Y17" s="928">
        <f t="shared" si="0"/>
        <v>0</v>
      </c>
    </row>
    <row r="18" spans="1:31">
      <c r="A18" s="824">
        <v>12</v>
      </c>
      <c r="B18" s="829"/>
      <c r="C18" s="924"/>
      <c r="D18" s="924"/>
      <c r="E18" s="839"/>
      <c r="F18" s="839"/>
      <c r="G18" s="834"/>
      <c r="H18" s="798"/>
      <c r="I18" s="798"/>
      <c r="J18" s="798"/>
      <c r="K18" s="798"/>
      <c r="L18" s="798"/>
      <c r="M18" s="798"/>
      <c r="N18" s="798"/>
      <c r="O18" s="798"/>
      <c r="P18" s="929"/>
      <c r="Q18" s="798"/>
      <c r="R18" s="930"/>
      <c r="S18" s="798"/>
      <c r="T18" s="929"/>
      <c r="U18" s="799">
        <f t="shared" si="1"/>
        <v>0</v>
      </c>
      <c r="V18" s="838"/>
      <c r="W18" s="931"/>
      <c r="X18" s="838"/>
      <c r="Y18" s="928">
        <f t="shared" si="0"/>
        <v>0</v>
      </c>
    </row>
    <row r="19" spans="1:31">
      <c r="A19" s="824">
        <v>13</v>
      </c>
      <c r="B19" s="829"/>
      <c r="C19" s="924"/>
      <c r="D19" s="924"/>
      <c r="E19" s="839"/>
      <c r="F19" s="839"/>
      <c r="G19" s="834"/>
      <c r="H19" s="798"/>
      <c r="I19" s="798"/>
      <c r="J19" s="798"/>
      <c r="K19" s="798"/>
      <c r="L19" s="798"/>
      <c r="M19" s="798"/>
      <c r="N19" s="798"/>
      <c r="O19" s="798"/>
      <c r="P19" s="929"/>
      <c r="Q19" s="798"/>
      <c r="R19" s="930"/>
      <c r="S19" s="798"/>
      <c r="T19" s="929"/>
      <c r="U19" s="799">
        <f t="shared" si="1"/>
        <v>0</v>
      </c>
      <c r="V19" s="838"/>
      <c r="W19" s="931"/>
      <c r="X19" s="838"/>
      <c r="Y19" s="928">
        <f t="shared" si="0"/>
        <v>0</v>
      </c>
    </row>
    <row r="20" spans="1:31">
      <c r="A20" s="824">
        <v>14</v>
      </c>
      <c r="B20" s="829"/>
      <c r="C20" s="924"/>
      <c r="D20" s="924"/>
      <c r="E20" s="839"/>
      <c r="F20" s="839"/>
      <c r="G20" s="834"/>
      <c r="H20" s="798"/>
      <c r="I20" s="798"/>
      <c r="J20" s="798"/>
      <c r="K20" s="798"/>
      <c r="L20" s="798"/>
      <c r="M20" s="798"/>
      <c r="N20" s="798"/>
      <c r="O20" s="798"/>
      <c r="P20" s="929"/>
      <c r="Q20" s="798"/>
      <c r="R20" s="930"/>
      <c r="S20" s="798"/>
      <c r="T20" s="929"/>
      <c r="U20" s="799">
        <f t="shared" si="1"/>
        <v>0</v>
      </c>
      <c r="V20" s="838"/>
      <c r="W20" s="931"/>
      <c r="X20" s="838"/>
      <c r="Y20" s="928">
        <f t="shared" si="0"/>
        <v>0</v>
      </c>
    </row>
    <row r="21" spans="1:31">
      <c r="A21" s="824">
        <v>15</v>
      </c>
      <c r="B21" s="829"/>
      <c r="C21" s="924"/>
      <c r="D21" s="924"/>
      <c r="E21" s="839"/>
      <c r="F21" s="839"/>
      <c r="G21" s="834"/>
      <c r="H21" s="798"/>
      <c r="I21" s="798"/>
      <c r="J21" s="798"/>
      <c r="K21" s="798"/>
      <c r="L21" s="798"/>
      <c r="M21" s="798"/>
      <c r="N21" s="798"/>
      <c r="O21" s="798"/>
      <c r="P21" s="929"/>
      <c r="Q21" s="798"/>
      <c r="R21" s="930"/>
      <c r="S21" s="798"/>
      <c r="T21" s="929"/>
      <c r="U21" s="799">
        <f t="shared" si="1"/>
        <v>0</v>
      </c>
      <c r="V21" s="838"/>
      <c r="W21" s="931"/>
      <c r="X21" s="838"/>
      <c r="Y21" s="928">
        <f t="shared" si="0"/>
        <v>0</v>
      </c>
    </row>
    <row r="22" spans="1:31">
      <c r="A22" s="824">
        <v>16</v>
      </c>
      <c r="B22" s="829"/>
      <c r="C22" s="924"/>
      <c r="D22" s="924"/>
      <c r="E22" s="839"/>
      <c r="F22" s="839"/>
      <c r="G22" s="834"/>
      <c r="H22" s="798"/>
      <c r="I22" s="798"/>
      <c r="J22" s="798"/>
      <c r="K22" s="798"/>
      <c r="L22" s="798"/>
      <c r="M22" s="798"/>
      <c r="N22" s="798"/>
      <c r="O22" s="798"/>
      <c r="P22" s="929"/>
      <c r="Q22" s="798"/>
      <c r="R22" s="930"/>
      <c r="S22" s="798"/>
      <c r="T22" s="929"/>
      <c r="U22" s="799">
        <f t="shared" si="1"/>
        <v>0</v>
      </c>
      <c r="V22" s="838"/>
      <c r="W22" s="931"/>
      <c r="X22" s="838"/>
      <c r="Y22" s="928">
        <f t="shared" si="0"/>
        <v>0</v>
      </c>
    </row>
    <row r="23" spans="1:31">
      <c r="A23" s="824">
        <v>17</v>
      </c>
      <c r="B23" s="829"/>
      <c r="C23" s="924"/>
      <c r="D23" s="924"/>
      <c r="E23" s="839"/>
      <c r="F23" s="839"/>
      <c r="G23" s="834"/>
      <c r="H23" s="798"/>
      <c r="I23" s="798"/>
      <c r="J23" s="798"/>
      <c r="K23" s="798"/>
      <c r="L23" s="798"/>
      <c r="M23" s="798"/>
      <c r="N23" s="798"/>
      <c r="O23" s="798"/>
      <c r="P23" s="929"/>
      <c r="Q23" s="798"/>
      <c r="R23" s="930"/>
      <c r="S23" s="798"/>
      <c r="T23" s="929"/>
      <c r="U23" s="799">
        <f t="shared" si="1"/>
        <v>0</v>
      </c>
      <c r="V23" s="838"/>
      <c r="W23" s="931"/>
      <c r="X23" s="838"/>
      <c r="Y23" s="928">
        <f t="shared" si="0"/>
        <v>0</v>
      </c>
    </row>
    <row r="24" spans="1:31">
      <c r="A24" s="824">
        <v>18</v>
      </c>
      <c r="B24" s="829"/>
      <c r="C24" s="924"/>
      <c r="D24" s="924"/>
      <c r="E24" s="839"/>
      <c r="F24" s="839"/>
      <c r="G24" s="834"/>
      <c r="H24" s="798"/>
      <c r="I24" s="798"/>
      <c r="J24" s="798"/>
      <c r="K24" s="798"/>
      <c r="L24" s="798"/>
      <c r="M24" s="798"/>
      <c r="N24" s="798"/>
      <c r="O24" s="798"/>
      <c r="P24" s="929"/>
      <c r="Q24" s="798"/>
      <c r="R24" s="930"/>
      <c r="S24" s="798"/>
      <c r="T24" s="929"/>
      <c r="U24" s="799">
        <f t="shared" si="1"/>
        <v>0</v>
      </c>
      <c r="V24" s="829"/>
      <c r="W24" s="931"/>
      <c r="X24" s="829"/>
      <c r="Y24" s="928">
        <f t="shared" si="0"/>
        <v>0</v>
      </c>
    </row>
    <row r="25" spans="1:31">
      <c r="A25" s="824">
        <v>19</v>
      </c>
      <c r="B25" s="829"/>
      <c r="C25" s="924"/>
      <c r="D25" s="924"/>
      <c r="E25" s="839"/>
      <c r="F25" s="839"/>
      <c r="G25" s="834"/>
      <c r="H25" s="798"/>
      <c r="I25" s="798"/>
      <c r="J25" s="798"/>
      <c r="K25" s="798"/>
      <c r="L25" s="798"/>
      <c r="M25" s="798"/>
      <c r="N25" s="798"/>
      <c r="O25" s="798"/>
      <c r="P25" s="929"/>
      <c r="Q25" s="798"/>
      <c r="R25" s="930"/>
      <c r="S25" s="798"/>
      <c r="T25" s="929"/>
      <c r="U25" s="799">
        <f t="shared" si="1"/>
        <v>0</v>
      </c>
      <c r="V25" s="829"/>
      <c r="W25" s="931"/>
      <c r="X25" s="829"/>
      <c r="Y25" s="928">
        <f t="shared" si="0"/>
        <v>0</v>
      </c>
    </row>
    <row r="26" spans="1:31">
      <c r="A26" s="824">
        <v>20</v>
      </c>
      <c r="B26" s="829"/>
      <c r="C26" s="924"/>
      <c r="D26" s="924"/>
      <c r="E26" s="839"/>
      <c r="F26" s="839"/>
      <c r="G26" s="834"/>
      <c r="H26" s="798"/>
      <c r="I26" s="798"/>
      <c r="J26" s="798"/>
      <c r="K26" s="798"/>
      <c r="L26" s="798"/>
      <c r="M26" s="798"/>
      <c r="N26" s="798"/>
      <c r="O26" s="798"/>
      <c r="P26" s="929"/>
      <c r="Q26" s="798"/>
      <c r="R26" s="930"/>
      <c r="S26" s="798"/>
      <c r="T26" s="929"/>
      <c r="U26" s="799">
        <f t="shared" si="1"/>
        <v>0</v>
      </c>
      <c r="V26" s="829"/>
      <c r="W26" s="931"/>
      <c r="X26" s="829"/>
      <c r="Y26" s="928">
        <f t="shared" si="0"/>
        <v>0</v>
      </c>
    </row>
    <row r="27" spans="1:31">
      <c r="A27" s="824">
        <v>21</v>
      </c>
      <c r="B27" s="829"/>
      <c r="C27" s="924"/>
      <c r="D27" s="924"/>
      <c r="E27" s="839"/>
      <c r="F27" s="839"/>
      <c r="G27" s="834"/>
      <c r="H27" s="798"/>
      <c r="I27" s="798"/>
      <c r="J27" s="798"/>
      <c r="K27" s="798"/>
      <c r="L27" s="798"/>
      <c r="M27" s="798"/>
      <c r="N27" s="798"/>
      <c r="O27" s="798"/>
      <c r="P27" s="929"/>
      <c r="Q27" s="798"/>
      <c r="R27" s="930"/>
      <c r="S27" s="798"/>
      <c r="T27" s="929"/>
      <c r="U27" s="799">
        <f t="shared" si="1"/>
        <v>0</v>
      </c>
      <c r="V27" s="829"/>
      <c r="W27" s="931"/>
      <c r="X27" s="829"/>
      <c r="Y27" s="928">
        <f t="shared" si="0"/>
        <v>0</v>
      </c>
    </row>
    <row r="28" spans="1:31">
      <c r="A28" s="779">
        <v>22</v>
      </c>
      <c r="B28" s="829"/>
      <c r="C28" s="924"/>
      <c r="D28" s="924"/>
      <c r="E28" s="839"/>
      <c r="F28" s="839"/>
      <c r="G28" s="834"/>
      <c r="H28" s="798"/>
      <c r="I28" s="798"/>
      <c r="J28" s="798"/>
      <c r="K28" s="798"/>
      <c r="L28" s="798"/>
      <c r="M28" s="798"/>
      <c r="N28" s="798"/>
      <c r="O28" s="798"/>
      <c r="P28" s="929"/>
      <c r="Q28" s="798"/>
      <c r="R28" s="930"/>
      <c r="S28" s="798"/>
      <c r="T28" s="929"/>
      <c r="U28" s="799">
        <f t="shared" si="1"/>
        <v>0</v>
      </c>
      <c r="V28" s="829"/>
      <c r="W28" s="931"/>
      <c r="X28" s="829"/>
      <c r="Y28" s="928">
        <f t="shared" si="0"/>
        <v>0</v>
      </c>
    </row>
    <row r="29" spans="1:31">
      <c r="A29" s="824">
        <v>23</v>
      </c>
      <c r="B29" s="829"/>
      <c r="C29" s="924"/>
      <c r="D29" s="924"/>
      <c r="E29" s="839"/>
      <c r="F29" s="839"/>
      <c r="G29" s="834"/>
      <c r="H29" s="798"/>
      <c r="I29" s="798"/>
      <c r="J29" s="798"/>
      <c r="K29" s="798"/>
      <c r="L29" s="798"/>
      <c r="M29" s="798"/>
      <c r="N29" s="798"/>
      <c r="O29" s="798"/>
      <c r="P29" s="929"/>
      <c r="Q29" s="798"/>
      <c r="R29" s="930"/>
      <c r="S29" s="798"/>
      <c r="T29" s="929"/>
      <c r="U29" s="799">
        <f t="shared" si="1"/>
        <v>0</v>
      </c>
      <c r="V29" s="829"/>
      <c r="W29" s="931"/>
      <c r="X29" s="829"/>
      <c r="Y29" s="928">
        <f t="shared" si="0"/>
        <v>0</v>
      </c>
    </row>
    <row r="30" spans="1:31">
      <c r="A30" s="824">
        <v>24</v>
      </c>
      <c r="B30" s="829"/>
      <c r="C30" s="924"/>
      <c r="D30" s="924"/>
      <c r="E30" s="839"/>
      <c r="F30" s="839"/>
      <c r="G30" s="834"/>
      <c r="H30" s="798"/>
      <c r="I30" s="798"/>
      <c r="J30" s="798"/>
      <c r="K30" s="798"/>
      <c r="L30" s="798"/>
      <c r="M30" s="798"/>
      <c r="N30" s="798"/>
      <c r="O30" s="798"/>
      <c r="P30" s="929"/>
      <c r="Q30" s="798"/>
      <c r="R30" s="930"/>
      <c r="S30" s="798"/>
      <c r="T30" s="929"/>
      <c r="U30" s="799">
        <f t="shared" si="1"/>
        <v>0</v>
      </c>
      <c r="V30" s="829"/>
      <c r="W30" s="931"/>
      <c r="X30" s="829"/>
      <c r="Y30" s="928">
        <f t="shared" si="0"/>
        <v>0</v>
      </c>
    </row>
    <row r="31" spans="1:31">
      <c r="A31" s="824">
        <v>25</v>
      </c>
      <c r="B31" s="829"/>
      <c r="C31" s="924"/>
      <c r="D31" s="924"/>
      <c r="E31" s="839"/>
      <c r="F31" s="839"/>
      <c r="G31" s="834"/>
      <c r="H31" s="798"/>
      <c r="I31" s="798"/>
      <c r="J31" s="798"/>
      <c r="K31" s="798"/>
      <c r="L31" s="798"/>
      <c r="M31" s="798"/>
      <c r="N31" s="798"/>
      <c r="O31" s="798"/>
      <c r="P31" s="929"/>
      <c r="Q31" s="798"/>
      <c r="R31" s="930"/>
      <c r="S31" s="798"/>
      <c r="T31" s="929"/>
      <c r="U31" s="799">
        <f t="shared" si="1"/>
        <v>0</v>
      </c>
      <c r="V31" s="829"/>
      <c r="W31" s="931"/>
      <c r="X31" s="829"/>
      <c r="Y31" s="932">
        <f t="shared" si="0"/>
        <v>0</v>
      </c>
    </row>
    <row r="32" spans="1:31" s="877" customFormat="1">
      <c r="A32" s="806">
        <v>26</v>
      </c>
      <c r="B32" s="806"/>
      <c r="C32" s="781"/>
      <c r="D32" s="781"/>
      <c r="E32" s="781"/>
      <c r="F32" s="781"/>
      <c r="G32" s="781"/>
      <c r="H32" s="781"/>
      <c r="I32" s="781"/>
      <c r="J32" s="781"/>
      <c r="K32" s="781"/>
      <c r="L32" s="781"/>
      <c r="M32" s="781"/>
      <c r="N32" s="781"/>
      <c r="O32" s="781"/>
      <c r="P32" s="781"/>
      <c r="Q32" s="806"/>
      <c r="R32" s="806"/>
      <c r="S32" s="846"/>
      <c r="T32" s="846"/>
      <c r="U32" s="1108" t="s">
        <v>960</v>
      </c>
      <c r="V32" s="1108"/>
      <c r="W32" s="1108"/>
      <c r="X32" s="933"/>
      <c r="Y32" s="934">
        <f>SUM(Y7:Y31)</f>
        <v>1006948960.0677832</v>
      </c>
      <c r="Z32" s="781"/>
      <c r="AA32" s="781"/>
      <c r="AB32" s="781"/>
      <c r="AC32" s="781"/>
      <c r="AD32" s="781"/>
      <c r="AE32" s="781"/>
    </row>
    <row r="33" spans="1:25">
      <c r="T33" s="935"/>
      <c r="V33" s="1109"/>
      <c r="W33" s="1109"/>
      <c r="X33" s="1109"/>
    </row>
    <row r="34" spans="1:25" ht="21.75" customHeight="1">
      <c r="H34" s="781" t="s">
        <v>961</v>
      </c>
      <c r="I34" s="781"/>
      <c r="J34" s="781"/>
      <c r="K34" s="781"/>
      <c r="L34" s="781"/>
      <c r="M34" s="781"/>
      <c r="N34" s="781"/>
      <c r="O34" s="806"/>
      <c r="X34" s="779"/>
      <c r="Y34" s="936"/>
    </row>
    <row r="35" spans="1:25" ht="19.5" customHeight="1">
      <c r="A35" s="780"/>
      <c r="B35" s="807"/>
      <c r="C35" s="868"/>
      <c r="D35" s="868"/>
      <c r="E35" s="868"/>
      <c r="F35" s="868"/>
      <c r="G35" s="868"/>
      <c r="H35" s="865"/>
      <c r="I35" s="867" t="s">
        <v>962</v>
      </c>
      <c r="R35" s="867"/>
      <c r="S35" s="867"/>
      <c r="T35" s="867"/>
      <c r="X35" s="779"/>
    </row>
    <row r="36" spans="1:25" ht="11.25" customHeight="1">
      <c r="A36" s="780"/>
      <c r="B36" s="780"/>
      <c r="C36" s="868"/>
      <c r="D36" s="868"/>
      <c r="E36" s="868"/>
      <c r="F36" s="868"/>
      <c r="G36" s="868"/>
      <c r="H36" s="868"/>
      <c r="I36" s="868"/>
      <c r="J36" s="867"/>
      <c r="K36" s="867"/>
      <c r="L36" s="867"/>
      <c r="M36" s="867"/>
      <c r="N36" s="867"/>
      <c r="O36" s="866"/>
      <c r="P36" s="866"/>
      <c r="Q36" s="866"/>
      <c r="R36" s="866"/>
      <c r="S36" s="866"/>
      <c r="T36" s="866"/>
      <c r="V36" s="779"/>
      <c r="X36" s="779"/>
    </row>
    <row r="37" spans="1:25" ht="11.25" customHeight="1">
      <c r="A37" s="780"/>
      <c r="B37" s="780"/>
      <c r="C37" s="868"/>
      <c r="D37" s="868"/>
      <c r="E37" s="868"/>
      <c r="F37" s="868"/>
      <c r="G37" s="868"/>
      <c r="H37" s="868"/>
      <c r="I37" s="868"/>
      <c r="J37" s="866"/>
      <c r="K37" s="866"/>
      <c r="L37" s="866"/>
      <c r="M37" s="866"/>
      <c r="N37" s="866"/>
      <c r="O37" s="863"/>
      <c r="P37" s="863"/>
      <c r="Q37" s="863"/>
      <c r="R37" s="863"/>
      <c r="S37" s="863"/>
      <c r="T37" s="863"/>
      <c r="V37" s="779"/>
      <c r="X37" s="779"/>
    </row>
    <row r="38" spans="1:25">
      <c r="A38" s="780"/>
      <c r="B38" s="780"/>
      <c r="H38" s="863"/>
      <c r="I38" s="863"/>
      <c r="J38" s="863"/>
      <c r="K38" s="863"/>
      <c r="L38" s="863"/>
      <c r="M38" s="863"/>
      <c r="N38" s="863"/>
      <c r="V38" s="779"/>
      <c r="X38" s="779"/>
    </row>
    <row r="39" spans="1:25">
      <c r="A39" s="780"/>
      <c r="B39" s="780"/>
      <c r="V39" s="806"/>
      <c r="X39" s="779"/>
    </row>
    <row r="40" spans="1:25">
      <c r="A40" s="780"/>
      <c r="B40" s="780"/>
      <c r="D40" s="937"/>
      <c r="E40" s="937"/>
      <c r="F40" s="937"/>
      <c r="V40" s="779"/>
    </row>
    <row r="41" spans="1:25">
      <c r="A41" s="780"/>
      <c r="B41" s="780"/>
      <c r="S41" s="781"/>
      <c r="T41" s="781"/>
      <c r="U41" s="784"/>
      <c r="V41" s="779"/>
    </row>
    <row r="42" spans="1:25">
      <c r="A42" s="780"/>
      <c r="B42" s="780"/>
      <c r="S42" s="781"/>
      <c r="T42" s="781"/>
      <c r="U42" s="784"/>
      <c r="V42" s="779"/>
    </row>
    <row r="43" spans="1:25">
      <c r="A43" s="780"/>
      <c r="B43" s="780"/>
      <c r="S43" s="781"/>
      <c r="T43" s="781"/>
      <c r="U43" s="784"/>
      <c r="V43" s="779"/>
    </row>
    <row r="44" spans="1:25">
      <c r="A44" s="780"/>
      <c r="B44" s="780"/>
      <c r="S44" s="781"/>
      <c r="T44" s="781"/>
      <c r="U44" s="784"/>
    </row>
    <row r="45" spans="1:25">
      <c r="A45" s="780"/>
      <c r="B45" s="780"/>
      <c r="S45" s="781"/>
      <c r="T45" s="781"/>
      <c r="U45" s="784"/>
    </row>
    <row r="46" spans="1:25">
      <c r="A46" s="780"/>
      <c r="B46" s="780"/>
    </row>
  </sheetData>
  <mergeCells count="19">
    <mergeCell ref="V33:X33"/>
    <mergeCell ref="U5:U6"/>
    <mergeCell ref="V5:V6"/>
    <mergeCell ref="W5:W6"/>
    <mergeCell ref="X5:X6"/>
    <mergeCell ref="Y5:Y6"/>
    <mergeCell ref="U32:W32"/>
    <mergeCell ref="A5:A6"/>
    <mergeCell ref="C5:C6"/>
    <mergeCell ref="D5:D6"/>
    <mergeCell ref="E5:E6"/>
    <mergeCell ref="F5:F6"/>
    <mergeCell ref="G5:G6"/>
    <mergeCell ref="B1:G1"/>
    <mergeCell ref="H1:T1"/>
    <mergeCell ref="U1:AA1"/>
    <mergeCell ref="B2:G2"/>
    <mergeCell ref="H2:T2"/>
    <mergeCell ref="U2:AA2"/>
  </mergeCells>
  <pageMargins left="0.7" right="0.7" top="0.75" bottom="0.75" header="0.3" footer="0.3"/>
  <pageSetup scale="38" orientation="landscape" r:id="rId1"/>
  <colBreaks count="2" manualBreakCount="2">
    <brk id="7" max="36" man="1"/>
    <brk id="25" max="36" man="1"/>
  </colBreaks>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AA1AC-8422-4BE8-9E30-0F9C3CD7E09F}">
  <sheetPr>
    <tabColor rgb="FFFF0000"/>
    <pageSetUpPr fitToPage="1"/>
  </sheetPr>
  <dimension ref="A1:M23"/>
  <sheetViews>
    <sheetView view="pageBreakPreview" zoomScaleNormal="100" zoomScaleSheetLayoutView="100" workbookViewId="0">
      <selection activeCell="L21" sqref="L21"/>
    </sheetView>
  </sheetViews>
  <sheetFormatPr defaultColWidth="8.77734375" defaultRowHeight="16.5"/>
  <cols>
    <col min="1" max="1" width="8.77734375" style="939"/>
    <col min="2" max="2" width="44" style="939" bestFit="1" customWidth="1"/>
    <col min="3" max="3" width="8.77734375" style="939"/>
    <col min="4" max="6" width="15.44140625" style="939" customWidth="1"/>
    <col min="7" max="7" width="13.44140625" style="939" bestFit="1" customWidth="1"/>
    <col min="8" max="8" width="15.44140625" style="939" customWidth="1"/>
    <col min="9" max="16384" width="8.77734375" style="939"/>
  </cols>
  <sheetData>
    <row r="1" spans="1:13">
      <c r="A1" s="938" t="s">
        <v>963</v>
      </c>
      <c r="B1" s="938"/>
      <c r="C1" s="938"/>
      <c r="D1" s="938"/>
      <c r="E1" s="938"/>
      <c r="F1" s="938"/>
      <c r="G1" s="938"/>
      <c r="H1" s="938"/>
      <c r="I1" s="938"/>
      <c r="J1" s="938"/>
      <c r="K1" s="938"/>
      <c r="L1" s="938"/>
      <c r="M1" s="938"/>
    </row>
    <row r="2" spans="1:13">
      <c r="A2" s="940" t="str">
        <f>'Appendix III'!$E$7</f>
        <v>GridLiance West LLC (GLW)</v>
      </c>
      <c r="B2" s="940"/>
      <c r="C2" s="940"/>
      <c r="D2" s="940"/>
      <c r="E2" s="940"/>
      <c r="F2" s="940"/>
      <c r="G2" s="940"/>
      <c r="H2" s="940"/>
      <c r="I2" s="940"/>
      <c r="J2" s="940"/>
      <c r="K2" s="940"/>
      <c r="L2" s="940"/>
      <c r="M2" s="940"/>
    </row>
    <row r="4" spans="1:13">
      <c r="C4" s="941" t="s">
        <v>964</v>
      </c>
      <c r="F4" s="942"/>
    </row>
    <row r="5" spans="1:13">
      <c r="C5" s="941"/>
      <c r="F5" s="942"/>
    </row>
    <row r="6" spans="1:13">
      <c r="B6" s="943" t="s">
        <v>188</v>
      </c>
      <c r="D6" s="943" t="s">
        <v>523</v>
      </c>
      <c r="E6" s="943"/>
      <c r="F6" s="943"/>
      <c r="G6" s="943"/>
      <c r="H6" s="943"/>
    </row>
    <row r="7" spans="1:13">
      <c r="A7" s="944"/>
      <c r="D7" s="943" t="s">
        <v>965</v>
      </c>
    </row>
    <row r="8" spans="1:13">
      <c r="D8" s="945">
        <f>YEAR('Appendix III'!$N$7)</f>
        <v>2027</v>
      </c>
      <c r="E8" s="943"/>
      <c r="F8" s="943"/>
      <c r="G8" s="943"/>
      <c r="H8" s="943"/>
    </row>
    <row r="9" spans="1:13">
      <c r="D9" s="946"/>
      <c r="F9" s="947"/>
      <c r="H9" s="947"/>
    </row>
    <row r="10" spans="1:13">
      <c r="A10" s="948">
        <v>1</v>
      </c>
      <c r="B10" s="939" t="s">
        <v>966</v>
      </c>
      <c r="C10" s="949"/>
      <c r="D10" s="950">
        <f>SUM(D11:D14)</f>
        <v>444672</v>
      </c>
      <c r="E10" s="951" t="s">
        <v>967</v>
      </c>
      <c r="F10" s="952"/>
      <c r="G10" s="953"/>
      <c r="H10" s="952"/>
    </row>
    <row r="11" spans="1:13">
      <c r="A11" s="948" t="s">
        <v>269</v>
      </c>
      <c r="B11" s="939" t="s">
        <v>968</v>
      </c>
      <c r="C11" s="949" t="s">
        <v>969</v>
      </c>
      <c r="D11" s="954">
        <v>349258.5</v>
      </c>
      <c r="E11" s="953"/>
      <c r="F11" s="952"/>
      <c r="G11" s="953"/>
      <c r="H11" s="952"/>
    </row>
    <row r="12" spans="1:13">
      <c r="A12" s="948" t="s">
        <v>900</v>
      </c>
      <c r="B12" s="939" t="s">
        <v>970</v>
      </c>
      <c r="C12" s="949"/>
      <c r="D12" s="954">
        <v>95413.5</v>
      </c>
      <c r="E12" s="953"/>
      <c r="F12" s="952"/>
      <c r="G12" s="953"/>
      <c r="H12" s="952"/>
    </row>
    <row r="13" spans="1:13">
      <c r="A13" s="948" t="s">
        <v>901</v>
      </c>
      <c r="B13" s="939" t="s">
        <v>971</v>
      </c>
      <c r="C13" s="949"/>
      <c r="D13" s="954"/>
      <c r="E13" s="953"/>
      <c r="F13" s="952"/>
      <c r="G13" s="953"/>
      <c r="H13" s="952"/>
    </row>
    <row r="14" spans="1:13">
      <c r="A14" s="948" t="s">
        <v>972</v>
      </c>
      <c r="B14" s="939" t="s">
        <v>973</v>
      </c>
      <c r="C14" s="949"/>
      <c r="D14" s="954"/>
      <c r="E14" s="953"/>
      <c r="F14" s="952"/>
      <c r="G14" s="953"/>
      <c r="H14" s="952"/>
    </row>
    <row r="15" spans="1:13">
      <c r="A15" s="948">
        <v>2</v>
      </c>
      <c r="B15" s="939" t="s">
        <v>974</v>
      </c>
      <c r="C15" s="949" t="s">
        <v>975</v>
      </c>
      <c r="D15" s="954"/>
      <c r="E15" s="951" t="s">
        <v>976</v>
      </c>
      <c r="F15" s="952"/>
      <c r="G15" s="953"/>
      <c r="H15" s="952"/>
    </row>
    <row r="16" spans="1:13">
      <c r="A16" s="948">
        <v>3</v>
      </c>
      <c r="B16" s="939" t="s">
        <v>977</v>
      </c>
      <c r="C16" s="949" t="s">
        <v>975</v>
      </c>
      <c r="D16" s="954"/>
      <c r="E16" s="951" t="s">
        <v>976</v>
      </c>
      <c r="F16" s="952"/>
      <c r="G16" s="953"/>
      <c r="H16" s="952"/>
    </row>
    <row r="20" spans="1:6">
      <c r="A20" s="955" t="s">
        <v>927</v>
      </c>
      <c r="B20" s="955"/>
      <c r="C20" s="955"/>
      <c r="D20" s="955"/>
      <c r="E20" s="955"/>
      <c r="F20" s="955"/>
    </row>
    <row r="21" spans="1:6" ht="27.75" customHeight="1">
      <c r="A21" s="956">
        <v>1</v>
      </c>
      <c r="B21" s="1110" t="s">
        <v>978</v>
      </c>
      <c r="C21" s="1110"/>
      <c r="D21" s="1110"/>
      <c r="E21" s="1110"/>
      <c r="F21" s="1110"/>
    </row>
    <row r="22" spans="1:6" ht="55.5" customHeight="1">
      <c r="A22" s="956">
        <v>2</v>
      </c>
      <c r="B22" s="1110" t="s">
        <v>979</v>
      </c>
      <c r="C22" s="1110"/>
      <c r="D22" s="1110"/>
      <c r="E22" s="1110"/>
      <c r="F22" s="1110"/>
    </row>
    <row r="23" spans="1:6" ht="17.45" customHeight="1">
      <c r="A23" s="956"/>
      <c r="B23" s="1110"/>
      <c r="C23" s="1110"/>
      <c r="D23" s="1110"/>
      <c r="E23" s="1110"/>
      <c r="F23" s="1110"/>
    </row>
  </sheetData>
  <mergeCells count="3">
    <mergeCell ref="B21:F21"/>
    <mergeCell ref="B22:F22"/>
    <mergeCell ref="B23:F23"/>
  </mergeCells>
  <pageMargins left="0.7" right="0.7" top="0.75" bottom="0.75" header="0.3" footer="0.3"/>
  <pageSetup scale="95" orientation="landscape" r:id="rId1"/>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63214-3DDF-4697-80FA-D60FBD370718}">
  <sheetPr>
    <pageSetUpPr fitToPage="1"/>
  </sheetPr>
  <dimension ref="A1:P68"/>
  <sheetViews>
    <sheetView view="pageBreakPreview" zoomScale="90" zoomScaleNormal="100" zoomScaleSheetLayoutView="90" workbookViewId="0">
      <selection sqref="A1:H1"/>
    </sheetView>
  </sheetViews>
  <sheetFormatPr defaultColWidth="8.77734375" defaultRowHeight="15.75"/>
  <cols>
    <col min="1" max="1" width="8.77734375" style="961"/>
    <col min="2" max="2" width="50" style="962" customWidth="1"/>
    <col min="3" max="3" width="15.77734375" style="962" customWidth="1"/>
    <col min="4" max="4" width="13.77734375" style="962" customWidth="1"/>
    <col min="5" max="5" width="11.109375" style="962" bestFit="1" customWidth="1"/>
    <col min="6" max="6" width="10" style="962" bestFit="1" customWidth="1"/>
    <col min="7" max="7" width="9" style="962" bestFit="1" customWidth="1"/>
    <col min="8" max="8" width="11" style="962" bestFit="1" customWidth="1"/>
    <col min="9" max="9" width="8.77734375" style="962"/>
    <col min="10" max="10" width="11.44140625" style="962" bestFit="1" customWidth="1"/>
    <col min="11" max="11" width="39.44140625" style="962" bestFit="1" customWidth="1"/>
    <col min="12" max="16384" width="8.77734375" style="960"/>
  </cols>
  <sheetData>
    <row r="1" spans="1:16">
      <c r="A1" s="1111" t="s">
        <v>980</v>
      </c>
      <c r="B1" s="1111"/>
      <c r="C1" s="1111"/>
      <c r="D1" s="1111"/>
      <c r="E1" s="1111"/>
      <c r="F1" s="1111"/>
      <c r="G1" s="1111"/>
      <c r="H1" s="1111"/>
      <c r="I1" s="958"/>
      <c r="J1" s="958"/>
      <c r="K1" s="958"/>
      <c r="L1" s="959"/>
      <c r="M1" s="959"/>
      <c r="N1" s="959"/>
      <c r="O1" s="959"/>
      <c r="P1" s="959"/>
    </row>
    <row r="2" spans="1:16">
      <c r="A2" s="1112" t="str">
        <f>+'8 - Future Use'!A2</f>
        <v>GridLiance West LLC (GLW)</v>
      </c>
      <c r="B2" s="1112"/>
      <c r="C2" s="1112"/>
      <c r="D2" s="1112"/>
      <c r="E2" s="1112"/>
      <c r="F2" s="1112"/>
      <c r="G2" s="1112"/>
      <c r="H2" s="1112"/>
      <c r="I2" s="958"/>
      <c r="J2" s="958"/>
      <c r="K2" s="958"/>
      <c r="L2" s="959"/>
      <c r="M2" s="959"/>
      <c r="N2" s="959"/>
      <c r="O2" s="959"/>
      <c r="P2" s="959"/>
    </row>
    <row r="3" spans="1:16">
      <c r="G3" s="958"/>
      <c r="H3" s="958"/>
    </row>
    <row r="5" spans="1:16">
      <c r="A5" s="963" t="s">
        <v>981</v>
      </c>
      <c r="B5" s="958"/>
      <c r="C5" s="958"/>
      <c r="D5" s="958"/>
      <c r="E5" s="958"/>
    </row>
    <row r="6" spans="1:16">
      <c r="A6" s="964"/>
      <c r="B6" s="958"/>
      <c r="C6" s="958"/>
      <c r="D6" s="958"/>
      <c r="E6" s="958"/>
    </row>
    <row r="7" spans="1:16" ht="50.25" customHeight="1">
      <c r="A7" s="957" t="s">
        <v>724</v>
      </c>
      <c r="B7" s="958" t="s">
        <v>433</v>
      </c>
      <c r="C7" s="965"/>
      <c r="D7" s="966" t="s">
        <v>982</v>
      </c>
      <c r="E7" s="966" t="s">
        <v>983</v>
      </c>
      <c r="F7" s="967" t="s">
        <v>984</v>
      </c>
      <c r="G7" s="966" t="s">
        <v>985</v>
      </c>
      <c r="H7" s="967" t="s">
        <v>57</v>
      </c>
    </row>
    <row r="8" spans="1:16" ht="18.75" customHeight="1">
      <c r="A8" s="957"/>
      <c r="B8" s="958"/>
      <c r="C8" s="958"/>
      <c r="D8" s="958"/>
      <c r="E8" s="958"/>
      <c r="L8" s="241"/>
    </row>
    <row r="9" spans="1:16">
      <c r="A9" s="968">
        <v>1</v>
      </c>
      <c r="B9" s="969" t="s">
        <v>986</v>
      </c>
      <c r="C9" s="970"/>
      <c r="D9" s="559">
        <v>2297025.2254932998</v>
      </c>
      <c r="E9" s="559"/>
      <c r="F9" s="672"/>
      <c r="G9" s="559"/>
      <c r="H9" s="487">
        <f t="shared" ref="H9:H32" si="0">SUM(D9:G9)</f>
        <v>2297025.2254932998</v>
      </c>
      <c r="J9" s="43"/>
    </row>
    <row r="10" spans="1:16">
      <c r="A10" s="968">
        <f t="shared" ref="A10:A33" si="1">+A9+1</f>
        <v>2</v>
      </c>
      <c r="B10" s="969" t="s">
        <v>987</v>
      </c>
      <c r="C10" s="970"/>
      <c r="D10" s="559"/>
      <c r="E10" s="559">
        <v>5123884.5135747995</v>
      </c>
      <c r="F10" s="672"/>
      <c r="G10" s="559"/>
      <c r="H10" s="487">
        <f t="shared" si="0"/>
        <v>5123884.5135747995</v>
      </c>
      <c r="J10" s="43"/>
    </row>
    <row r="11" spans="1:16">
      <c r="A11" s="968">
        <f t="shared" si="1"/>
        <v>3</v>
      </c>
      <c r="B11" s="969" t="s">
        <v>988</v>
      </c>
      <c r="C11" s="970"/>
      <c r="D11" s="559"/>
      <c r="E11" s="559">
        <v>746750.04120000009</v>
      </c>
      <c r="F11" s="672"/>
      <c r="G11" s="559"/>
      <c r="H11" s="487">
        <f t="shared" si="0"/>
        <v>746750.04120000009</v>
      </c>
      <c r="J11" s="43"/>
    </row>
    <row r="12" spans="1:16">
      <c r="A12" s="968">
        <f t="shared" si="1"/>
        <v>4</v>
      </c>
      <c r="B12" s="969" t="s">
        <v>256</v>
      </c>
      <c r="C12" s="970"/>
      <c r="D12" s="559"/>
      <c r="E12" s="559">
        <v>2863665.9751276001</v>
      </c>
      <c r="F12" s="672"/>
      <c r="G12" s="559"/>
      <c r="H12" s="487">
        <f t="shared" si="0"/>
        <v>2863665.9751276001</v>
      </c>
      <c r="J12" s="43"/>
    </row>
    <row r="13" spans="1:16">
      <c r="A13" s="968">
        <f t="shared" si="1"/>
        <v>5</v>
      </c>
      <c r="B13" s="969"/>
      <c r="C13" s="970"/>
      <c r="D13" s="559"/>
      <c r="E13" s="559"/>
      <c r="F13" s="672"/>
      <c r="G13" s="559"/>
      <c r="H13" s="487">
        <f t="shared" si="0"/>
        <v>0</v>
      </c>
      <c r="J13" s="43"/>
    </row>
    <row r="14" spans="1:16">
      <c r="A14" s="968">
        <f t="shared" si="1"/>
        <v>6</v>
      </c>
      <c r="B14" s="969"/>
      <c r="C14" s="970"/>
      <c r="D14" s="559"/>
      <c r="E14" s="559"/>
      <c r="F14" s="672"/>
      <c r="G14" s="559"/>
      <c r="H14" s="487">
        <f t="shared" si="0"/>
        <v>0</v>
      </c>
      <c r="J14" s="43"/>
    </row>
    <row r="15" spans="1:16">
      <c r="A15" s="968">
        <f t="shared" si="1"/>
        <v>7</v>
      </c>
      <c r="B15" s="969"/>
      <c r="C15" s="970"/>
      <c r="D15" s="559"/>
      <c r="E15" s="559"/>
      <c r="F15" s="672"/>
      <c r="G15" s="559"/>
      <c r="H15" s="487">
        <f t="shared" si="0"/>
        <v>0</v>
      </c>
      <c r="J15" s="43"/>
    </row>
    <row r="16" spans="1:16">
      <c r="A16" s="968">
        <f t="shared" si="1"/>
        <v>8</v>
      </c>
      <c r="B16" s="559"/>
      <c r="C16" s="971"/>
      <c r="D16" s="559"/>
      <c r="E16" s="559"/>
      <c r="F16" s="672"/>
      <c r="G16" s="559"/>
      <c r="H16" s="487">
        <f t="shared" si="0"/>
        <v>0</v>
      </c>
      <c r="J16" s="43"/>
    </row>
    <row r="17" spans="1:10">
      <c r="A17" s="968">
        <f t="shared" si="1"/>
        <v>9</v>
      </c>
      <c r="B17" s="969"/>
      <c r="C17" s="971"/>
      <c r="D17" s="559"/>
      <c r="E17" s="559"/>
      <c r="F17" s="672"/>
      <c r="G17" s="559"/>
      <c r="H17" s="487">
        <f t="shared" si="0"/>
        <v>0</v>
      </c>
      <c r="J17" s="43"/>
    </row>
    <row r="18" spans="1:10">
      <c r="A18" s="968">
        <f t="shared" si="1"/>
        <v>10</v>
      </c>
      <c r="B18" s="969"/>
      <c r="C18" s="971"/>
      <c r="D18" s="559"/>
      <c r="E18" s="559"/>
      <c r="F18" s="672"/>
      <c r="G18" s="559"/>
      <c r="H18" s="487">
        <f t="shared" si="0"/>
        <v>0</v>
      </c>
      <c r="J18" s="43"/>
    </row>
    <row r="19" spans="1:10">
      <c r="A19" s="968">
        <f t="shared" si="1"/>
        <v>11</v>
      </c>
      <c r="B19" s="969"/>
      <c r="C19" s="971"/>
      <c r="D19" s="559"/>
      <c r="E19" s="559"/>
      <c r="F19" s="672"/>
      <c r="G19" s="559"/>
      <c r="H19" s="487">
        <f t="shared" si="0"/>
        <v>0</v>
      </c>
      <c r="J19" s="43"/>
    </row>
    <row r="20" spans="1:10">
      <c r="A20" s="968">
        <f t="shared" si="1"/>
        <v>12</v>
      </c>
      <c r="B20" s="969"/>
      <c r="C20" s="971"/>
      <c r="D20" s="559"/>
      <c r="E20" s="559"/>
      <c r="F20" s="672"/>
      <c r="G20" s="559"/>
      <c r="H20" s="487">
        <f t="shared" si="0"/>
        <v>0</v>
      </c>
      <c r="J20" s="43"/>
    </row>
    <row r="21" spans="1:10">
      <c r="A21" s="968">
        <f t="shared" si="1"/>
        <v>13</v>
      </c>
      <c r="B21" s="969"/>
      <c r="C21" s="971"/>
      <c r="D21" s="559"/>
      <c r="E21" s="559"/>
      <c r="F21" s="672"/>
      <c r="G21" s="559"/>
      <c r="H21" s="487">
        <f t="shared" si="0"/>
        <v>0</v>
      </c>
      <c r="J21" s="43"/>
    </row>
    <row r="22" spans="1:10">
      <c r="A22" s="968">
        <f t="shared" si="1"/>
        <v>14</v>
      </c>
      <c r="B22" s="969"/>
      <c r="C22" s="970"/>
      <c r="D22" s="559"/>
      <c r="E22" s="559"/>
      <c r="F22" s="672"/>
      <c r="G22" s="559"/>
      <c r="H22" s="487">
        <f t="shared" si="0"/>
        <v>0</v>
      </c>
      <c r="J22" s="43"/>
    </row>
    <row r="23" spans="1:10">
      <c r="A23" s="968">
        <f t="shared" si="1"/>
        <v>15</v>
      </c>
      <c r="B23" s="969"/>
      <c r="C23" s="970"/>
      <c r="D23" s="559"/>
      <c r="E23" s="559"/>
      <c r="F23" s="672"/>
      <c r="G23" s="559"/>
      <c r="H23" s="487">
        <f t="shared" si="0"/>
        <v>0</v>
      </c>
      <c r="J23" s="42"/>
    </row>
    <row r="24" spans="1:10">
      <c r="A24" s="968">
        <f t="shared" si="1"/>
        <v>16</v>
      </c>
      <c r="B24" s="969"/>
      <c r="C24" s="970"/>
      <c r="D24" s="559"/>
      <c r="E24" s="559"/>
      <c r="F24" s="672"/>
      <c r="G24" s="559"/>
      <c r="H24" s="487">
        <f t="shared" si="0"/>
        <v>0</v>
      </c>
      <c r="J24" s="42"/>
    </row>
    <row r="25" spans="1:10">
      <c r="A25" s="968">
        <f t="shared" si="1"/>
        <v>17</v>
      </c>
      <c r="B25" s="969"/>
      <c r="C25" s="970"/>
      <c r="D25" s="559"/>
      <c r="E25" s="559"/>
      <c r="F25" s="672"/>
      <c r="G25" s="559"/>
      <c r="H25" s="487">
        <f t="shared" si="0"/>
        <v>0</v>
      </c>
    </row>
    <row r="26" spans="1:10">
      <c r="A26" s="968">
        <f t="shared" si="1"/>
        <v>18</v>
      </c>
      <c r="B26" s="969"/>
      <c r="C26" s="970"/>
      <c r="D26" s="559"/>
      <c r="E26" s="559"/>
      <c r="F26" s="672"/>
      <c r="G26" s="559"/>
      <c r="H26" s="487">
        <f t="shared" si="0"/>
        <v>0</v>
      </c>
      <c r="J26" s="972"/>
    </row>
    <row r="27" spans="1:10">
      <c r="A27" s="968">
        <f t="shared" si="1"/>
        <v>19</v>
      </c>
      <c r="B27" s="969"/>
      <c r="C27" s="970"/>
      <c r="D27" s="559"/>
      <c r="E27" s="559"/>
      <c r="F27" s="672"/>
      <c r="G27" s="559"/>
      <c r="H27" s="487">
        <f t="shared" si="0"/>
        <v>0</v>
      </c>
    </row>
    <row r="28" spans="1:10">
      <c r="A28" s="968">
        <f t="shared" si="1"/>
        <v>20</v>
      </c>
      <c r="B28" s="969"/>
      <c r="C28" s="970"/>
      <c r="D28" s="559"/>
      <c r="E28" s="559"/>
      <c r="F28" s="672"/>
      <c r="G28" s="559"/>
      <c r="H28" s="487">
        <f t="shared" si="0"/>
        <v>0</v>
      </c>
    </row>
    <row r="29" spans="1:10">
      <c r="A29" s="968">
        <f t="shared" si="1"/>
        <v>21</v>
      </c>
      <c r="B29" s="969"/>
      <c r="C29" s="970"/>
      <c r="D29" s="559"/>
      <c r="E29" s="559"/>
      <c r="F29" s="672"/>
      <c r="G29" s="559"/>
      <c r="H29" s="487">
        <f t="shared" si="0"/>
        <v>0</v>
      </c>
    </row>
    <row r="30" spans="1:10">
      <c r="A30" s="968">
        <f t="shared" si="1"/>
        <v>22</v>
      </c>
      <c r="B30" s="969"/>
      <c r="C30" s="970"/>
      <c r="D30" s="559"/>
      <c r="E30" s="559"/>
      <c r="F30" s="672"/>
      <c r="G30" s="559"/>
      <c r="H30" s="487">
        <f t="shared" si="0"/>
        <v>0</v>
      </c>
    </row>
    <row r="31" spans="1:10">
      <c r="A31" s="968">
        <f t="shared" si="1"/>
        <v>23</v>
      </c>
      <c r="B31" s="969"/>
      <c r="C31" s="970"/>
      <c r="D31" s="559"/>
      <c r="E31" s="559"/>
      <c r="F31" s="672"/>
      <c r="G31" s="559"/>
      <c r="H31" s="487">
        <f t="shared" si="0"/>
        <v>0</v>
      </c>
      <c r="J31" s="972"/>
    </row>
    <row r="32" spans="1:10">
      <c r="A32" s="968">
        <f t="shared" si="1"/>
        <v>24</v>
      </c>
      <c r="B32" s="969"/>
      <c r="C32" s="970"/>
      <c r="D32" s="559"/>
      <c r="E32" s="559"/>
      <c r="F32" s="672"/>
      <c r="G32" s="559"/>
      <c r="H32" s="487">
        <f t="shared" si="0"/>
        <v>0</v>
      </c>
      <c r="J32" s="972"/>
    </row>
    <row r="33" spans="1:14" ht="16.5" thickBot="1">
      <c r="A33" s="968">
        <f t="shared" si="1"/>
        <v>25</v>
      </c>
      <c r="B33" s="958" t="s">
        <v>57</v>
      </c>
      <c r="C33" s="958"/>
      <c r="D33" s="973">
        <f>SUM(D9:D32)</f>
        <v>2297025.2254932998</v>
      </c>
      <c r="E33" s="973">
        <f>SUM(E9:E32)</f>
        <v>8734300.5299023986</v>
      </c>
      <c r="F33" s="43"/>
      <c r="G33" s="973">
        <f>SUM(G9:G32)</f>
        <v>0</v>
      </c>
      <c r="H33" s="973">
        <f>SUM(H9:H32)</f>
        <v>11031325.755395699</v>
      </c>
      <c r="J33" s="972"/>
    </row>
    <row r="34" spans="1:14" ht="16.5" thickTop="1">
      <c r="A34" s="974" t="s">
        <v>55</v>
      </c>
      <c r="B34" s="958"/>
      <c r="C34" s="958"/>
      <c r="D34" s="43"/>
      <c r="E34" s="43"/>
      <c r="F34" s="43"/>
      <c r="G34" s="43"/>
      <c r="H34" s="43"/>
    </row>
    <row r="35" spans="1:14">
      <c r="A35" s="963" t="s">
        <v>989</v>
      </c>
      <c r="B35" s="958"/>
      <c r="C35" s="958"/>
      <c r="D35" s="958"/>
      <c r="E35" s="958"/>
    </row>
    <row r="36" spans="1:14">
      <c r="A36" s="964"/>
      <c r="B36" s="958"/>
      <c r="C36" s="958"/>
      <c r="D36" s="958"/>
      <c r="E36" s="958"/>
    </row>
    <row r="37" spans="1:14" ht="34.5">
      <c r="A37" s="966" t="s">
        <v>724</v>
      </c>
      <c r="B37" s="965" t="s">
        <v>990</v>
      </c>
      <c r="C37" s="965" t="s">
        <v>991</v>
      </c>
      <c r="D37" s="966" t="s">
        <v>982</v>
      </c>
      <c r="E37" s="966" t="s">
        <v>983</v>
      </c>
      <c r="F37" s="967" t="s">
        <v>984</v>
      </c>
      <c r="G37" s="966" t="s">
        <v>985</v>
      </c>
      <c r="H37" s="967" t="s">
        <v>57</v>
      </c>
    </row>
    <row r="38" spans="1:14">
      <c r="A38" s="957"/>
      <c r="B38" s="958"/>
      <c r="C38" s="958"/>
      <c r="D38" s="958"/>
      <c r="E38" s="958"/>
      <c r="F38" s="958"/>
    </row>
    <row r="39" spans="1:14">
      <c r="A39" s="968">
        <f>+A33+1</f>
        <v>26</v>
      </c>
      <c r="B39" s="958" t="s">
        <v>992</v>
      </c>
      <c r="C39" s="975">
        <v>560</v>
      </c>
      <c r="D39" s="559"/>
      <c r="E39" s="559"/>
      <c r="F39" s="672"/>
      <c r="G39" s="559"/>
      <c r="H39" s="487">
        <f t="shared" ref="H39:H63" si="2">SUM(D39:G39)</f>
        <v>0</v>
      </c>
      <c r="J39" s="473"/>
      <c r="K39" s="473"/>
      <c r="L39" s="976"/>
      <c r="M39" s="976"/>
      <c r="N39" s="976"/>
    </row>
    <row r="40" spans="1:14">
      <c r="A40" s="968">
        <f t="shared" ref="A40:A62" si="3">+A39+1</f>
        <v>27</v>
      </c>
      <c r="B40" s="958" t="s">
        <v>993</v>
      </c>
      <c r="C40" s="975">
        <v>561.1</v>
      </c>
      <c r="D40" s="559"/>
      <c r="E40" s="559"/>
      <c r="F40" s="672"/>
      <c r="G40" s="559"/>
      <c r="H40" s="487">
        <f t="shared" si="2"/>
        <v>0</v>
      </c>
      <c r="J40" s="473"/>
      <c r="K40" s="473"/>
      <c r="L40" s="976"/>
      <c r="M40" s="976"/>
      <c r="N40" s="976"/>
    </row>
    <row r="41" spans="1:14">
      <c r="A41" s="968">
        <f t="shared" si="3"/>
        <v>28</v>
      </c>
      <c r="B41" s="958" t="s">
        <v>994</v>
      </c>
      <c r="C41" s="975">
        <v>561.20000000000005</v>
      </c>
      <c r="D41" s="559"/>
      <c r="E41" s="559"/>
      <c r="F41" s="672"/>
      <c r="G41" s="559"/>
      <c r="H41" s="487">
        <f t="shared" si="2"/>
        <v>0</v>
      </c>
      <c r="J41" s="473"/>
      <c r="K41" s="473"/>
      <c r="L41" s="976"/>
      <c r="M41" s="976"/>
      <c r="N41" s="976"/>
    </row>
    <row r="42" spans="1:14">
      <c r="A42" s="968">
        <f t="shared" si="3"/>
        <v>29</v>
      </c>
      <c r="B42" s="958" t="s">
        <v>995</v>
      </c>
      <c r="C42" s="975">
        <v>561.29999999999995</v>
      </c>
      <c r="D42" s="559"/>
      <c r="E42" s="559"/>
      <c r="F42" s="672"/>
      <c r="G42" s="559"/>
      <c r="H42" s="487">
        <f t="shared" si="2"/>
        <v>0</v>
      </c>
      <c r="J42" s="473"/>
      <c r="K42" s="473"/>
      <c r="M42" s="976"/>
      <c r="N42" s="976"/>
    </row>
    <row r="43" spans="1:14">
      <c r="A43" s="968">
        <f t="shared" si="3"/>
        <v>30</v>
      </c>
      <c r="B43" s="958" t="s">
        <v>996</v>
      </c>
      <c r="C43" s="975">
        <v>561.4</v>
      </c>
      <c r="D43" s="559"/>
      <c r="E43" s="559"/>
      <c r="F43" s="672"/>
      <c r="G43" s="559"/>
      <c r="H43" s="487">
        <f t="shared" si="2"/>
        <v>0</v>
      </c>
      <c r="I43" s="458"/>
      <c r="J43" s="473"/>
      <c r="L43" s="976"/>
      <c r="M43" s="976"/>
      <c r="N43" s="976"/>
    </row>
    <row r="44" spans="1:14">
      <c r="A44" s="968">
        <f t="shared" si="3"/>
        <v>31</v>
      </c>
      <c r="B44" s="958" t="s">
        <v>997</v>
      </c>
      <c r="C44" s="975">
        <v>561.5</v>
      </c>
      <c r="D44" s="559"/>
      <c r="E44" s="559"/>
      <c r="F44" s="672"/>
      <c r="G44" s="559"/>
      <c r="H44" s="487">
        <f t="shared" si="2"/>
        <v>0</v>
      </c>
      <c r="I44" s="458"/>
      <c r="J44" s="473"/>
      <c r="K44" s="473"/>
      <c r="L44" s="976"/>
      <c r="M44" s="976"/>
      <c r="N44" s="976"/>
    </row>
    <row r="45" spans="1:14">
      <c r="A45" s="968">
        <f t="shared" si="3"/>
        <v>32</v>
      </c>
      <c r="B45" s="958" t="s">
        <v>998</v>
      </c>
      <c r="C45" s="975">
        <v>561.6</v>
      </c>
      <c r="D45" s="559"/>
      <c r="E45" s="559"/>
      <c r="F45" s="672"/>
      <c r="G45" s="559"/>
      <c r="H45" s="487">
        <f t="shared" si="2"/>
        <v>0</v>
      </c>
      <c r="I45" s="458"/>
      <c r="J45" s="473"/>
      <c r="K45" s="473"/>
      <c r="L45" s="976"/>
      <c r="M45" s="976"/>
      <c r="N45" s="976"/>
    </row>
    <row r="46" spans="1:14">
      <c r="A46" s="968">
        <f t="shared" si="3"/>
        <v>33</v>
      </c>
      <c r="B46" s="958" t="s">
        <v>999</v>
      </c>
      <c r="C46" s="975">
        <v>561.70000000000005</v>
      </c>
      <c r="D46" s="559"/>
      <c r="E46" s="559"/>
      <c r="F46" s="672"/>
      <c r="G46" s="559"/>
      <c r="H46" s="487">
        <f t="shared" si="2"/>
        <v>0</v>
      </c>
      <c r="I46" s="458"/>
      <c r="J46" s="473"/>
      <c r="K46" s="473"/>
      <c r="L46" s="976"/>
      <c r="M46" s="976"/>
      <c r="N46" s="976"/>
    </row>
    <row r="47" spans="1:14">
      <c r="A47" s="968">
        <f t="shared" si="3"/>
        <v>34</v>
      </c>
      <c r="B47" s="958" t="s">
        <v>1000</v>
      </c>
      <c r="C47" s="975">
        <v>561.79999999999995</v>
      </c>
      <c r="D47" s="559"/>
      <c r="E47" s="559"/>
      <c r="F47" s="672"/>
      <c r="G47" s="559"/>
      <c r="H47" s="487">
        <f t="shared" si="2"/>
        <v>0</v>
      </c>
      <c r="J47" s="473"/>
      <c r="K47" s="473"/>
      <c r="L47" s="976"/>
      <c r="M47" s="976"/>
      <c r="N47" s="976"/>
    </row>
    <row r="48" spans="1:14">
      <c r="A48" s="968">
        <f t="shared" si="3"/>
        <v>35</v>
      </c>
      <c r="B48" s="958" t="s">
        <v>1001</v>
      </c>
      <c r="C48" s="975">
        <v>562</v>
      </c>
      <c r="D48" s="559"/>
      <c r="E48" s="559"/>
      <c r="F48" s="672"/>
      <c r="G48" s="559"/>
      <c r="H48" s="487">
        <f t="shared" si="2"/>
        <v>0</v>
      </c>
    </row>
    <row r="49" spans="1:8">
      <c r="A49" s="968">
        <f t="shared" si="3"/>
        <v>36</v>
      </c>
      <c r="B49" s="958" t="s">
        <v>1002</v>
      </c>
      <c r="C49" s="975">
        <v>563</v>
      </c>
      <c r="D49" s="559"/>
      <c r="E49" s="559"/>
      <c r="F49" s="672"/>
      <c r="G49" s="559"/>
      <c r="H49" s="487">
        <f t="shared" si="2"/>
        <v>0</v>
      </c>
    </row>
    <row r="50" spans="1:8">
      <c r="A50" s="968">
        <f t="shared" si="3"/>
        <v>37</v>
      </c>
      <c r="B50" s="958" t="s">
        <v>1003</v>
      </c>
      <c r="C50" s="975">
        <v>564</v>
      </c>
      <c r="D50" s="559"/>
      <c r="E50" s="559"/>
      <c r="F50" s="672"/>
      <c r="G50" s="559"/>
      <c r="H50" s="487">
        <f t="shared" si="2"/>
        <v>0</v>
      </c>
    </row>
    <row r="51" spans="1:8">
      <c r="A51" s="968">
        <f t="shared" si="3"/>
        <v>38</v>
      </c>
      <c r="B51" s="958" t="s">
        <v>1004</v>
      </c>
      <c r="C51" s="975">
        <v>565</v>
      </c>
      <c r="D51" s="559"/>
      <c r="E51" s="559"/>
      <c r="F51" s="672"/>
      <c r="G51" s="559"/>
      <c r="H51" s="487">
        <f t="shared" si="2"/>
        <v>0</v>
      </c>
    </row>
    <row r="52" spans="1:8">
      <c r="A52" s="968">
        <f t="shared" si="3"/>
        <v>39</v>
      </c>
      <c r="B52" s="958" t="s">
        <v>1005</v>
      </c>
      <c r="C52" s="975">
        <v>566</v>
      </c>
      <c r="D52" s="559"/>
      <c r="E52" s="559"/>
      <c r="F52" s="672"/>
      <c r="G52" s="559"/>
      <c r="H52" s="487">
        <f t="shared" si="2"/>
        <v>0</v>
      </c>
    </row>
    <row r="53" spans="1:8">
      <c r="A53" s="968">
        <f t="shared" si="3"/>
        <v>40</v>
      </c>
      <c r="B53" s="958" t="s">
        <v>1006</v>
      </c>
      <c r="C53" s="975">
        <v>567</v>
      </c>
      <c r="D53" s="559"/>
      <c r="E53" s="559"/>
      <c r="F53" s="672"/>
      <c r="G53" s="559"/>
      <c r="H53" s="487">
        <f t="shared" si="2"/>
        <v>0</v>
      </c>
    </row>
    <row r="54" spans="1:8">
      <c r="A54" s="968">
        <f t="shared" si="3"/>
        <v>41</v>
      </c>
      <c r="B54" s="958" t="s">
        <v>1007</v>
      </c>
      <c r="C54" s="975">
        <v>568</v>
      </c>
      <c r="D54" s="559"/>
      <c r="E54" s="559"/>
      <c r="F54" s="672"/>
      <c r="G54" s="559"/>
      <c r="H54" s="487">
        <f t="shared" si="2"/>
        <v>0</v>
      </c>
    </row>
    <row r="55" spans="1:8">
      <c r="A55" s="968">
        <f t="shared" si="3"/>
        <v>42</v>
      </c>
      <c r="B55" s="958" t="s">
        <v>1008</v>
      </c>
      <c r="C55" s="975">
        <v>569</v>
      </c>
      <c r="D55" s="559"/>
      <c r="E55" s="559"/>
      <c r="F55" s="672"/>
      <c r="G55" s="559"/>
      <c r="H55" s="487">
        <f t="shared" si="2"/>
        <v>0</v>
      </c>
    </row>
    <row r="56" spans="1:8">
      <c r="A56" s="968">
        <f t="shared" si="3"/>
        <v>43</v>
      </c>
      <c r="B56" s="958" t="s">
        <v>1009</v>
      </c>
      <c r="C56" s="975">
        <v>569.1</v>
      </c>
      <c r="D56" s="559"/>
      <c r="E56" s="559"/>
      <c r="F56" s="672"/>
      <c r="G56" s="559"/>
      <c r="H56" s="487">
        <f t="shared" si="2"/>
        <v>0</v>
      </c>
    </row>
    <row r="57" spans="1:8">
      <c r="A57" s="968">
        <f t="shared" si="3"/>
        <v>44</v>
      </c>
      <c r="B57" s="958" t="s">
        <v>1010</v>
      </c>
      <c r="C57" s="975">
        <v>569.20000000000005</v>
      </c>
      <c r="D57" s="559"/>
      <c r="E57" s="559"/>
      <c r="F57" s="672"/>
      <c r="G57" s="559"/>
      <c r="H57" s="487">
        <f t="shared" si="2"/>
        <v>0</v>
      </c>
    </row>
    <row r="58" spans="1:8">
      <c r="A58" s="968">
        <f t="shared" si="3"/>
        <v>45</v>
      </c>
      <c r="B58" s="958" t="s">
        <v>1011</v>
      </c>
      <c r="C58" s="975">
        <v>569.29999999999995</v>
      </c>
      <c r="D58" s="559"/>
      <c r="E58" s="559"/>
      <c r="F58" s="672"/>
      <c r="G58" s="559"/>
      <c r="H58" s="487">
        <f t="shared" si="2"/>
        <v>0</v>
      </c>
    </row>
    <row r="59" spans="1:8">
      <c r="A59" s="968">
        <f t="shared" si="3"/>
        <v>46</v>
      </c>
      <c r="B59" s="958" t="s">
        <v>1012</v>
      </c>
      <c r="C59" s="975">
        <v>569.4</v>
      </c>
      <c r="D59" s="559"/>
      <c r="E59" s="559"/>
      <c r="F59" s="672"/>
      <c r="G59" s="559"/>
      <c r="H59" s="487">
        <f t="shared" si="2"/>
        <v>0</v>
      </c>
    </row>
    <row r="60" spans="1:8">
      <c r="A60" s="968">
        <f t="shared" si="3"/>
        <v>47</v>
      </c>
      <c r="B60" s="958" t="s">
        <v>1013</v>
      </c>
      <c r="C60" s="975">
        <v>570</v>
      </c>
      <c r="D60" s="559"/>
      <c r="E60" s="559"/>
      <c r="F60" s="672"/>
      <c r="G60" s="559"/>
      <c r="H60" s="487">
        <f t="shared" si="2"/>
        <v>0</v>
      </c>
    </row>
    <row r="61" spans="1:8">
      <c r="A61" s="968">
        <f t="shared" si="3"/>
        <v>48</v>
      </c>
      <c r="B61" s="958" t="s">
        <v>1014</v>
      </c>
      <c r="C61" s="975">
        <v>571</v>
      </c>
      <c r="D61" s="559"/>
      <c r="E61" s="559"/>
      <c r="F61" s="672"/>
      <c r="G61" s="559"/>
      <c r="H61" s="487">
        <f t="shared" si="2"/>
        <v>0</v>
      </c>
    </row>
    <row r="62" spans="1:8">
      <c r="A62" s="968">
        <f t="shared" si="3"/>
        <v>49</v>
      </c>
      <c r="B62" s="958" t="s">
        <v>1015</v>
      </c>
      <c r="C62" s="975">
        <v>572</v>
      </c>
      <c r="D62" s="559"/>
      <c r="E62" s="559"/>
      <c r="F62" s="672"/>
      <c r="G62" s="559"/>
      <c r="H62" s="487">
        <f t="shared" si="2"/>
        <v>0</v>
      </c>
    </row>
    <row r="63" spans="1:8">
      <c r="A63" s="968">
        <v>50</v>
      </c>
      <c r="B63" s="2" t="s">
        <v>1016</v>
      </c>
      <c r="C63" s="975">
        <v>573</v>
      </c>
      <c r="D63" s="559"/>
      <c r="E63" s="559"/>
      <c r="F63" s="672"/>
      <c r="G63" s="559"/>
      <c r="H63" s="487">
        <f t="shared" si="2"/>
        <v>0</v>
      </c>
    </row>
    <row r="64" spans="1:8" ht="16.5" thickBot="1">
      <c r="A64" s="968">
        <v>51</v>
      </c>
      <c r="B64" s="958" t="s">
        <v>57</v>
      </c>
      <c r="C64" s="958"/>
      <c r="D64" s="977">
        <f>SUM(D39:D63)</f>
        <v>0</v>
      </c>
      <c r="E64" s="977">
        <f>SUM(E39:E63)</f>
        <v>0</v>
      </c>
      <c r="G64" s="977">
        <f>SUM(G39:G63)</f>
        <v>0</v>
      </c>
      <c r="H64" s="977">
        <f>SUM(H39:H63)</f>
        <v>0</v>
      </c>
    </row>
    <row r="65" spans="2:2" ht="16.5" thickTop="1"/>
    <row r="66" spans="2:2">
      <c r="B66" s="962" t="s">
        <v>1017</v>
      </c>
    </row>
    <row r="67" spans="2:2">
      <c r="B67" s="962" t="s">
        <v>1018</v>
      </c>
    </row>
    <row r="68" spans="2:2">
      <c r="B68" s="962" t="s">
        <v>1019</v>
      </c>
    </row>
  </sheetData>
  <mergeCells count="2">
    <mergeCell ref="A1:H1"/>
    <mergeCell ref="A2:H2"/>
  </mergeCells>
  <pageMargins left="0.7" right="0.7" top="0.75" bottom="0.75" header="0.3" footer="0.3"/>
  <pageSetup scale="45" orientation="landscape" r:id="rId1"/>
  <rowBreaks count="1" manualBreakCount="1">
    <brk id="34" max="16383" man="1"/>
  </rowBreaks>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6C72-CDD6-4F5A-BAAB-DA5ED15E429E}">
  <sheetPr>
    <pageSetUpPr fitToPage="1"/>
  </sheetPr>
  <dimension ref="A1:Q54"/>
  <sheetViews>
    <sheetView view="pageBreakPreview" zoomScale="90" zoomScaleNormal="100" zoomScaleSheetLayoutView="90" workbookViewId="0">
      <selection sqref="A1:H1"/>
    </sheetView>
  </sheetViews>
  <sheetFormatPr defaultColWidth="8.77734375" defaultRowHeight="15.75"/>
  <cols>
    <col min="1" max="1" width="3.44140625" style="962" customWidth="1"/>
    <col min="2" max="2" width="40" style="962" customWidth="1"/>
    <col min="3" max="3" width="14.109375" style="962" customWidth="1"/>
    <col min="4" max="4" width="17.44140625" style="962" customWidth="1"/>
    <col min="5" max="5" width="13.109375" style="962" customWidth="1"/>
    <col min="6" max="6" width="8.77734375" style="962" customWidth="1"/>
    <col min="7" max="7" width="19" style="962" customWidth="1"/>
    <col min="8" max="8" width="11" style="43" bestFit="1" customWidth="1"/>
    <col min="9" max="9" width="8.77734375" style="962"/>
    <col min="10" max="10" width="11" style="962" bestFit="1" customWidth="1"/>
    <col min="11" max="11" width="8.77734375" style="962"/>
    <col min="12" max="16384" width="8.77734375" style="960"/>
  </cols>
  <sheetData>
    <row r="1" spans="1:17">
      <c r="A1" s="1111" t="s">
        <v>1020</v>
      </c>
      <c r="B1" s="1111"/>
      <c r="C1" s="1111"/>
      <c r="D1" s="1111"/>
      <c r="E1" s="1111"/>
      <c r="F1" s="1111"/>
      <c r="G1" s="1111"/>
      <c r="H1" s="1111"/>
      <c r="I1" s="958"/>
      <c r="J1" s="958"/>
      <c r="K1" s="958"/>
      <c r="L1" s="959"/>
      <c r="M1" s="959"/>
      <c r="N1" s="959"/>
      <c r="O1" s="959"/>
      <c r="P1" s="959"/>
      <c r="Q1" s="959"/>
    </row>
    <row r="2" spans="1:17">
      <c r="A2" s="1112" t="str">
        <f>+'WP1 - O&amp;M detail'!A2:E2</f>
        <v>GridLiance West LLC (GLW)</v>
      </c>
      <c r="B2" s="1112"/>
      <c r="C2" s="1112"/>
      <c r="D2" s="1112"/>
      <c r="E2" s="1112"/>
      <c r="F2" s="1112"/>
      <c r="G2" s="1112"/>
      <c r="H2" s="1112"/>
      <c r="I2" s="958"/>
      <c r="J2" s="958"/>
      <c r="K2" s="958"/>
      <c r="L2" s="959"/>
      <c r="M2" s="959"/>
      <c r="N2" s="959"/>
      <c r="O2" s="959"/>
      <c r="P2" s="959"/>
      <c r="Q2" s="959"/>
    </row>
    <row r="3" spans="1:17">
      <c r="G3" s="958"/>
      <c r="H3" s="45"/>
    </row>
    <row r="4" spans="1:17">
      <c r="H4" s="42"/>
    </row>
    <row r="6" spans="1:17">
      <c r="A6" s="978" t="s">
        <v>1021</v>
      </c>
      <c r="B6" s="958"/>
      <c r="C6" s="958"/>
      <c r="D6" s="958"/>
      <c r="E6" s="958"/>
      <c r="F6" s="958"/>
    </row>
    <row r="7" spans="1:17">
      <c r="A7" s="958"/>
      <c r="B7" s="958"/>
      <c r="C7" s="958"/>
      <c r="D7" s="958"/>
      <c r="E7" s="958"/>
      <c r="F7" s="958"/>
    </row>
    <row r="8" spans="1:17" ht="32.25" customHeight="1">
      <c r="A8" s="958" t="s">
        <v>724</v>
      </c>
      <c r="B8" s="958" t="s">
        <v>433</v>
      </c>
      <c r="C8" s="958"/>
      <c r="D8" s="979" t="s">
        <v>1022</v>
      </c>
      <c r="E8" s="958" t="s">
        <v>1023</v>
      </c>
      <c r="F8" s="962" t="s">
        <v>984</v>
      </c>
      <c r="G8" s="958" t="s">
        <v>1024</v>
      </c>
      <c r="H8" s="43" t="s">
        <v>57</v>
      </c>
      <c r="L8" s="241"/>
    </row>
    <row r="9" spans="1:17">
      <c r="A9" s="958"/>
      <c r="B9" s="958"/>
      <c r="C9" s="958"/>
      <c r="D9" s="958"/>
      <c r="E9" s="958"/>
      <c r="F9" s="958"/>
      <c r="H9" s="458"/>
      <c r="J9" s="962" t="s">
        <v>55</v>
      </c>
    </row>
    <row r="10" spans="1:17">
      <c r="A10" s="968">
        <v>1</v>
      </c>
      <c r="B10" s="969" t="s">
        <v>1025</v>
      </c>
      <c r="C10" s="971"/>
      <c r="D10" s="559">
        <v>4717948.8410906</v>
      </c>
      <c r="E10" s="672"/>
      <c r="F10" s="672"/>
      <c r="G10" s="559"/>
      <c r="H10" s="487">
        <f t="shared" ref="H10:H24" si="0">+D10+E10+G10</f>
        <v>4717948.8410906</v>
      </c>
      <c r="J10" s="962" t="s">
        <v>55</v>
      </c>
    </row>
    <row r="11" spans="1:17">
      <c r="A11" s="980">
        <f t="shared" ref="A11:A25" si="1">+A10+1</f>
        <v>2</v>
      </c>
      <c r="B11" s="969" t="s">
        <v>1026</v>
      </c>
      <c r="C11" s="971"/>
      <c r="D11" s="672"/>
      <c r="E11" s="672">
        <v>686425.36619759991</v>
      </c>
      <c r="F11" s="672"/>
      <c r="G11" s="672"/>
      <c r="H11" s="487">
        <f t="shared" si="0"/>
        <v>686425.36619759991</v>
      </c>
      <c r="J11" s="962" t="s">
        <v>55</v>
      </c>
    </row>
    <row r="12" spans="1:17">
      <c r="A12" s="980">
        <f t="shared" si="1"/>
        <v>3</v>
      </c>
      <c r="B12" s="969"/>
      <c r="C12" s="971"/>
      <c r="D12" s="672"/>
      <c r="E12" s="672"/>
      <c r="F12" s="672"/>
      <c r="G12" s="672"/>
      <c r="H12" s="487">
        <f t="shared" si="0"/>
        <v>0</v>
      </c>
    </row>
    <row r="13" spans="1:17">
      <c r="A13" s="980">
        <f t="shared" si="1"/>
        <v>4</v>
      </c>
      <c r="B13" s="969"/>
      <c r="C13" s="971"/>
      <c r="D13" s="672"/>
      <c r="E13" s="672"/>
      <c r="F13" s="672"/>
      <c r="G13" s="672"/>
      <c r="H13" s="487">
        <f t="shared" si="0"/>
        <v>0</v>
      </c>
    </row>
    <row r="14" spans="1:17">
      <c r="A14" s="980">
        <f t="shared" si="1"/>
        <v>5</v>
      </c>
      <c r="B14" s="969"/>
      <c r="C14" s="971"/>
      <c r="D14" s="672"/>
      <c r="E14" s="672"/>
      <c r="F14" s="672"/>
      <c r="G14" s="672"/>
      <c r="H14" s="487">
        <f t="shared" si="0"/>
        <v>0</v>
      </c>
    </row>
    <row r="15" spans="1:17">
      <c r="A15" s="980">
        <f t="shared" si="1"/>
        <v>6</v>
      </c>
      <c r="B15" s="969"/>
      <c r="C15" s="971"/>
      <c r="D15" s="672"/>
      <c r="E15" s="672"/>
      <c r="F15" s="672"/>
      <c r="G15" s="672"/>
      <c r="H15" s="487">
        <f t="shared" si="0"/>
        <v>0</v>
      </c>
    </row>
    <row r="16" spans="1:17">
      <c r="A16" s="980">
        <f t="shared" si="1"/>
        <v>7</v>
      </c>
      <c r="B16" s="969"/>
      <c r="C16" s="971"/>
      <c r="D16" s="672"/>
      <c r="E16" s="672"/>
      <c r="F16" s="672"/>
      <c r="G16" s="672"/>
      <c r="H16" s="487">
        <f t="shared" si="0"/>
        <v>0</v>
      </c>
    </row>
    <row r="17" spans="1:8">
      <c r="A17" s="980">
        <f t="shared" si="1"/>
        <v>8</v>
      </c>
      <c r="B17" s="969"/>
      <c r="C17" s="971"/>
      <c r="D17" s="672"/>
      <c r="E17" s="672"/>
      <c r="F17" s="672"/>
      <c r="G17" s="672"/>
      <c r="H17" s="487">
        <f t="shared" si="0"/>
        <v>0</v>
      </c>
    </row>
    <row r="18" spans="1:8">
      <c r="A18" s="980">
        <f t="shared" si="1"/>
        <v>9</v>
      </c>
      <c r="B18" s="969"/>
      <c r="C18" s="971"/>
      <c r="D18" s="672"/>
      <c r="E18" s="672"/>
      <c r="F18" s="672"/>
      <c r="G18" s="672"/>
      <c r="H18" s="487">
        <f t="shared" si="0"/>
        <v>0</v>
      </c>
    </row>
    <row r="19" spans="1:8">
      <c r="A19" s="980">
        <f t="shared" si="1"/>
        <v>10</v>
      </c>
      <c r="B19" s="969"/>
      <c r="C19" s="971"/>
      <c r="D19" s="672"/>
      <c r="E19" s="672"/>
      <c r="F19" s="672"/>
      <c r="G19" s="672"/>
      <c r="H19" s="487">
        <f t="shared" si="0"/>
        <v>0</v>
      </c>
    </row>
    <row r="20" spans="1:8">
      <c r="A20" s="980">
        <f t="shared" si="1"/>
        <v>11</v>
      </c>
      <c r="B20" s="969"/>
      <c r="C20" s="971"/>
      <c r="D20" s="672"/>
      <c r="E20" s="672"/>
      <c r="F20" s="672"/>
      <c r="G20" s="672"/>
      <c r="H20" s="487">
        <f t="shared" si="0"/>
        <v>0</v>
      </c>
    </row>
    <row r="21" spans="1:8">
      <c r="A21" s="980">
        <f t="shared" si="1"/>
        <v>12</v>
      </c>
      <c r="B21" s="969"/>
      <c r="C21" s="971"/>
      <c r="D21" s="672"/>
      <c r="E21" s="672"/>
      <c r="F21" s="672"/>
      <c r="G21" s="672"/>
      <c r="H21" s="487">
        <f t="shared" si="0"/>
        <v>0</v>
      </c>
    </row>
    <row r="22" spans="1:8">
      <c r="A22" s="980">
        <f t="shared" si="1"/>
        <v>13</v>
      </c>
      <c r="B22" s="969"/>
      <c r="C22" s="971"/>
      <c r="D22" s="672"/>
      <c r="E22" s="672"/>
      <c r="F22" s="672"/>
      <c r="G22" s="672"/>
      <c r="H22" s="487">
        <f t="shared" si="0"/>
        <v>0</v>
      </c>
    </row>
    <row r="23" spans="1:8">
      <c r="A23" s="980">
        <f t="shared" si="1"/>
        <v>14</v>
      </c>
      <c r="B23" s="969"/>
      <c r="C23" s="971"/>
      <c r="D23" s="672"/>
      <c r="E23" s="672"/>
      <c r="F23" s="672"/>
      <c r="G23" s="672"/>
      <c r="H23" s="487">
        <f t="shared" si="0"/>
        <v>0</v>
      </c>
    </row>
    <row r="24" spans="1:8">
      <c r="A24" s="980">
        <f t="shared" si="1"/>
        <v>15</v>
      </c>
      <c r="B24" s="969"/>
      <c r="C24" s="971"/>
      <c r="D24" s="672"/>
      <c r="E24" s="672"/>
      <c r="F24" s="672"/>
      <c r="G24" s="672"/>
      <c r="H24" s="487">
        <f t="shared" si="0"/>
        <v>0</v>
      </c>
    </row>
    <row r="25" spans="1:8">
      <c r="A25" s="980">
        <f t="shared" si="1"/>
        <v>16</v>
      </c>
      <c r="B25" s="962" t="s">
        <v>57</v>
      </c>
      <c r="D25" s="42">
        <f>SUM(D10:D24)</f>
        <v>4717948.8410906</v>
      </c>
      <c r="E25" s="42">
        <f>SUM(E10:E24)</f>
        <v>686425.36619759991</v>
      </c>
      <c r="F25" s="43"/>
      <c r="G25" s="42">
        <f>SUM(G10:G24)</f>
        <v>0</v>
      </c>
      <c r="H25" s="43">
        <f>SUM(H10:H24)</f>
        <v>5404374.2072882</v>
      </c>
    </row>
    <row r="26" spans="1:8">
      <c r="A26" s="958"/>
      <c r="B26" s="958" t="s">
        <v>55</v>
      </c>
      <c r="C26" s="958"/>
      <c r="D26" s="958"/>
      <c r="E26" s="958"/>
      <c r="F26" s="958"/>
    </row>
    <row r="27" spans="1:8">
      <c r="A27" s="978" t="s">
        <v>1027</v>
      </c>
      <c r="B27" s="958"/>
      <c r="C27" s="958"/>
      <c r="D27" s="958"/>
      <c r="E27" s="958"/>
      <c r="F27" s="958"/>
    </row>
    <row r="28" spans="1:8">
      <c r="A28" s="958"/>
      <c r="B28" s="958"/>
      <c r="C28" s="958"/>
      <c r="D28" s="958"/>
      <c r="E28" s="958"/>
      <c r="F28" s="958"/>
    </row>
    <row r="29" spans="1:8" ht="30.75" customHeight="1">
      <c r="A29" s="958" t="s">
        <v>724</v>
      </c>
      <c r="B29" s="958" t="s">
        <v>990</v>
      </c>
      <c r="C29" s="958" t="s">
        <v>991</v>
      </c>
      <c r="D29" s="979" t="s">
        <v>1022</v>
      </c>
      <c r="E29" s="958" t="s">
        <v>1023</v>
      </c>
      <c r="F29" s="962" t="s">
        <v>984</v>
      </c>
      <c r="G29" s="958" t="s">
        <v>1024</v>
      </c>
      <c r="H29" s="43" t="s">
        <v>57</v>
      </c>
    </row>
    <row r="30" spans="1:8">
      <c r="A30" s="957"/>
      <c r="B30" s="958"/>
      <c r="C30" s="958"/>
      <c r="D30" s="958"/>
      <c r="E30" s="958"/>
      <c r="F30" s="958"/>
      <c r="H30" s="458"/>
    </row>
    <row r="31" spans="1:8">
      <c r="A31" s="980">
        <f>+A25+1</f>
        <v>17</v>
      </c>
      <c r="B31" s="487" t="s">
        <v>1028</v>
      </c>
      <c r="C31" s="981">
        <v>920</v>
      </c>
      <c r="D31" s="559"/>
      <c r="E31" s="559"/>
      <c r="F31" s="672"/>
      <c r="G31" s="559"/>
      <c r="H31" s="487">
        <f>+D31+E31+G31</f>
        <v>0</v>
      </c>
    </row>
    <row r="32" spans="1:8">
      <c r="A32" s="980">
        <f t="shared" ref="A32:A46" si="2">+A31+1</f>
        <v>18</v>
      </c>
      <c r="B32" s="958" t="s">
        <v>1029</v>
      </c>
      <c r="C32" s="981">
        <v>921</v>
      </c>
      <c r="D32" s="672"/>
      <c r="E32" s="672"/>
      <c r="F32" s="672"/>
      <c r="G32" s="559"/>
      <c r="H32" s="487">
        <f t="shared" ref="H32:H45" si="3">+D32+E32+G32</f>
        <v>0</v>
      </c>
    </row>
    <row r="33" spans="1:8">
      <c r="A33" s="980">
        <f t="shared" si="2"/>
        <v>19</v>
      </c>
      <c r="B33" s="958" t="s">
        <v>1030</v>
      </c>
      <c r="C33" s="981">
        <v>922</v>
      </c>
      <c r="D33" s="672"/>
      <c r="E33" s="672"/>
      <c r="F33" s="672"/>
      <c r="G33" s="559"/>
      <c r="H33" s="487">
        <f t="shared" si="3"/>
        <v>0</v>
      </c>
    </row>
    <row r="34" spans="1:8">
      <c r="A34" s="980">
        <f t="shared" si="2"/>
        <v>20</v>
      </c>
      <c r="B34" s="958" t="s">
        <v>1031</v>
      </c>
      <c r="C34" s="981">
        <v>923</v>
      </c>
      <c r="D34" s="672"/>
      <c r="E34" s="672"/>
      <c r="F34" s="672"/>
      <c r="G34" s="559"/>
      <c r="H34" s="487">
        <f t="shared" si="3"/>
        <v>0</v>
      </c>
    </row>
    <row r="35" spans="1:8">
      <c r="A35" s="980">
        <f t="shared" si="2"/>
        <v>21</v>
      </c>
      <c r="B35" s="958" t="s">
        <v>1032</v>
      </c>
      <c r="C35" s="981">
        <v>924</v>
      </c>
      <c r="D35" s="672"/>
      <c r="E35" s="672"/>
      <c r="F35" s="672"/>
      <c r="G35" s="559"/>
      <c r="H35" s="487">
        <f t="shared" si="3"/>
        <v>0</v>
      </c>
    </row>
    <row r="36" spans="1:8">
      <c r="A36" s="980">
        <f t="shared" si="2"/>
        <v>22</v>
      </c>
      <c r="B36" s="958" t="s">
        <v>1033</v>
      </c>
      <c r="C36" s="981">
        <v>925</v>
      </c>
      <c r="D36" s="672"/>
      <c r="E36" s="672"/>
      <c r="F36" s="672"/>
      <c r="G36" s="559"/>
      <c r="H36" s="487">
        <f t="shared" si="3"/>
        <v>0</v>
      </c>
    </row>
    <row r="37" spans="1:8">
      <c r="A37" s="980">
        <f t="shared" si="2"/>
        <v>23</v>
      </c>
      <c r="B37" s="958" t="s">
        <v>1034</v>
      </c>
      <c r="C37" s="981">
        <v>926</v>
      </c>
      <c r="D37" s="672"/>
      <c r="E37" s="672"/>
      <c r="F37" s="672"/>
      <c r="G37" s="559"/>
      <c r="H37" s="487">
        <f t="shared" si="3"/>
        <v>0</v>
      </c>
    </row>
    <row r="38" spans="1:8">
      <c r="A38" s="980">
        <f t="shared" si="2"/>
        <v>24</v>
      </c>
      <c r="B38" s="958" t="s">
        <v>1035</v>
      </c>
      <c r="C38" s="981">
        <v>927</v>
      </c>
      <c r="D38" s="672"/>
      <c r="E38" s="672"/>
      <c r="F38" s="672"/>
      <c r="G38" s="559"/>
      <c r="H38" s="487">
        <f t="shared" si="3"/>
        <v>0</v>
      </c>
    </row>
    <row r="39" spans="1:8">
      <c r="A39" s="980">
        <f t="shared" si="2"/>
        <v>25</v>
      </c>
      <c r="B39" s="958" t="s">
        <v>1036</v>
      </c>
      <c r="C39" s="981">
        <v>928</v>
      </c>
      <c r="D39" s="672"/>
      <c r="E39" s="672"/>
      <c r="F39" s="672"/>
      <c r="G39" s="559"/>
      <c r="H39" s="487">
        <f t="shared" si="3"/>
        <v>0</v>
      </c>
    </row>
    <row r="40" spans="1:8">
      <c r="A40" s="980">
        <f t="shared" si="2"/>
        <v>26</v>
      </c>
      <c r="B40" s="958" t="s">
        <v>1037</v>
      </c>
      <c r="C40" s="981">
        <v>929</v>
      </c>
      <c r="D40" s="672"/>
      <c r="E40" s="672"/>
      <c r="F40" s="672"/>
      <c r="G40" s="559"/>
      <c r="H40" s="487">
        <f t="shared" si="3"/>
        <v>0</v>
      </c>
    </row>
    <row r="41" spans="1:8">
      <c r="A41" s="980">
        <f t="shared" si="2"/>
        <v>27</v>
      </c>
      <c r="B41" s="958" t="s">
        <v>1038</v>
      </c>
      <c r="C41" s="981">
        <v>930.1</v>
      </c>
      <c r="D41" s="672"/>
      <c r="E41" s="672"/>
      <c r="F41" s="672"/>
      <c r="G41" s="559"/>
      <c r="H41" s="487">
        <f t="shared" si="3"/>
        <v>0</v>
      </c>
    </row>
    <row r="42" spans="1:8">
      <c r="A42" s="980">
        <f t="shared" si="2"/>
        <v>28</v>
      </c>
      <c r="B42" s="958" t="s">
        <v>1039</v>
      </c>
      <c r="C42" s="981">
        <v>930.2</v>
      </c>
      <c r="D42" s="672"/>
      <c r="E42" s="672"/>
      <c r="F42" s="672"/>
      <c r="G42" s="559"/>
      <c r="H42" s="487">
        <f t="shared" si="3"/>
        <v>0</v>
      </c>
    </row>
    <row r="43" spans="1:8">
      <c r="A43" s="980">
        <f t="shared" si="2"/>
        <v>29</v>
      </c>
      <c r="B43" s="958" t="s">
        <v>1040</v>
      </c>
      <c r="C43" s="981">
        <v>931</v>
      </c>
      <c r="D43" s="672"/>
      <c r="E43" s="672"/>
      <c r="F43" s="672"/>
      <c r="G43" s="559"/>
      <c r="H43" s="487">
        <f t="shared" si="3"/>
        <v>0</v>
      </c>
    </row>
    <row r="44" spans="1:8">
      <c r="A44" s="980">
        <f t="shared" si="2"/>
        <v>30</v>
      </c>
      <c r="B44" s="958" t="s">
        <v>1041</v>
      </c>
      <c r="C44" s="981">
        <v>933</v>
      </c>
      <c r="D44" s="672"/>
      <c r="E44" s="672"/>
      <c r="F44" s="672"/>
      <c r="G44" s="559"/>
      <c r="H44" s="487">
        <f t="shared" si="3"/>
        <v>0</v>
      </c>
    </row>
    <row r="45" spans="1:8">
      <c r="A45" s="980">
        <f t="shared" si="2"/>
        <v>31</v>
      </c>
      <c r="B45" s="958" t="s">
        <v>1042</v>
      </c>
      <c r="C45" s="981">
        <v>935</v>
      </c>
      <c r="D45" s="672"/>
      <c r="E45" s="672"/>
      <c r="F45" s="672"/>
      <c r="G45" s="559"/>
      <c r="H45" s="487">
        <f t="shared" si="3"/>
        <v>0</v>
      </c>
    </row>
    <row r="46" spans="1:8">
      <c r="A46" s="980">
        <f t="shared" si="2"/>
        <v>32</v>
      </c>
      <c r="B46" s="958" t="s">
        <v>57</v>
      </c>
      <c r="C46" s="958"/>
      <c r="D46" s="43">
        <f>SUM(D31:D45)</f>
        <v>0</v>
      </c>
      <c r="E46" s="43">
        <f>SUM(E31:E45)</f>
        <v>0</v>
      </c>
      <c r="F46" s="42"/>
      <c r="G46" s="43">
        <f>SUM(G31:G45)</f>
        <v>0</v>
      </c>
      <c r="H46" s="43">
        <f>SUM(H31:H45)</f>
        <v>0</v>
      </c>
    </row>
    <row r="47" spans="1:8">
      <c r="A47" s="980"/>
      <c r="B47" s="958"/>
      <c r="C47" s="958"/>
      <c r="D47" s="958"/>
      <c r="E47" s="958"/>
      <c r="F47" s="958"/>
    </row>
    <row r="48" spans="1:8">
      <c r="A48" s="980"/>
      <c r="B48" s="1113" t="s">
        <v>1017</v>
      </c>
      <c r="C48" s="1113"/>
      <c r="D48" s="1113"/>
      <c r="E48" s="1113"/>
      <c r="F48" s="958"/>
    </row>
    <row r="49" spans="1:6">
      <c r="A49" s="980"/>
      <c r="B49" s="958"/>
      <c r="C49" s="958"/>
      <c r="D49" s="958"/>
      <c r="E49" s="958"/>
      <c r="F49" s="958"/>
    </row>
    <row r="50" spans="1:6">
      <c r="A50" s="980"/>
      <c r="B50" s="958"/>
      <c r="C50" s="958"/>
      <c r="D50" s="958"/>
      <c r="E50" s="958"/>
      <c r="F50" s="958"/>
    </row>
    <row r="51" spans="1:6">
      <c r="A51" s="958"/>
      <c r="B51" s="958"/>
      <c r="C51" s="958"/>
      <c r="D51" s="958"/>
      <c r="E51" s="958"/>
      <c r="F51" s="958"/>
    </row>
    <row r="52" spans="1:6">
      <c r="A52" s="958"/>
      <c r="F52" s="958"/>
    </row>
    <row r="53" spans="1:6">
      <c r="B53" s="982"/>
    </row>
    <row r="54" spans="1:6">
      <c r="B54" s="982"/>
    </row>
  </sheetData>
  <mergeCells count="3">
    <mergeCell ref="A1:H1"/>
    <mergeCell ref="A2:H2"/>
    <mergeCell ref="B48:E48"/>
  </mergeCells>
  <pageMargins left="0.7" right="0.7" top="0.75" bottom="0.75" header="0.3" footer="0.3"/>
  <pageSetup scale="64" orientation="landscape" r:id="rId1"/>
  <rowBreaks count="1" manualBreakCount="1">
    <brk id="26" max="16383" man="1"/>
  </rowBreaks>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B9CB2-FDE0-4505-B2B8-046BB250A78D}">
  <sheetPr>
    <pageSetUpPr fitToPage="1"/>
  </sheetPr>
  <dimension ref="A1:O86"/>
  <sheetViews>
    <sheetView view="pageBreakPreview" zoomScale="90" zoomScaleNormal="100" zoomScaleSheetLayoutView="90" workbookViewId="0">
      <selection activeCell="F10" sqref="F10"/>
    </sheetView>
  </sheetViews>
  <sheetFormatPr defaultColWidth="8.77734375" defaultRowHeight="16.5"/>
  <cols>
    <col min="1" max="1" width="4" style="998" customWidth="1"/>
    <col min="2" max="2" width="16" style="983" customWidth="1"/>
    <col min="3" max="3" width="9.109375" style="983" bestFit="1" customWidth="1"/>
    <col min="4" max="4" width="16" style="983" customWidth="1"/>
    <col min="5" max="5" width="14.44140625" style="983" customWidth="1"/>
    <col min="6" max="7" width="12" style="983" bestFit="1" customWidth="1"/>
    <col min="8" max="8" width="8.77734375" style="983"/>
    <col min="9" max="9" width="12.44140625" style="983" customWidth="1"/>
    <col min="10" max="10" width="11" style="983" customWidth="1"/>
    <col min="11" max="11" width="12" style="983" customWidth="1"/>
    <col min="12" max="14" width="8.77734375" style="983"/>
    <col min="15" max="16384" width="8.77734375" style="960"/>
  </cols>
  <sheetData>
    <row r="1" spans="1:15">
      <c r="A1" s="1111" t="s">
        <v>1043</v>
      </c>
      <c r="B1" s="1111"/>
      <c r="C1" s="1111"/>
      <c r="D1" s="1111"/>
      <c r="E1" s="1111"/>
      <c r="F1" s="1111"/>
      <c r="G1" s="1111"/>
      <c r="H1" s="1111"/>
      <c r="I1" s="1111"/>
      <c r="J1" s="1111"/>
      <c r="K1" s="1111"/>
      <c r="L1" s="1111"/>
      <c r="M1" s="1111"/>
    </row>
    <row r="2" spans="1:15">
      <c r="A2" s="1112" t="str">
        <f>+'WP2 - A&amp;G detail'!A2:F2</f>
        <v>GridLiance West LLC (GLW)</v>
      </c>
      <c r="B2" s="1112"/>
      <c r="C2" s="1112"/>
      <c r="D2" s="1112"/>
      <c r="E2" s="1112"/>
      <c r="F2" s="1112"/>
      <c r="G2" s="1112"/>
      <c r="H2" s="1112"/>
      <c r="I2" s="1112"/>
      <c r="J2" s="1112"/>
      <c r="K2" s="1112"/>
      <c r="L2" s="1112"/>
      <c r="M2" s="1112"/>
    </row>
    <row r="3" spans="1:15">
      <c r="A3" s="7"/>
      <c r="B3" s="962"/>
      <c r="C3" s="962"/>
      <c r="D3" s="962"/>
      <c r="E3" s="962"/>
      <c r="F3" s="962"/>
      <c r="G3" s="962"/>
      <c r="H3" s="962"/>
      <c r="I3" s="962"/>
      <c r="J3" s="962"/>
      <c r="K3" s="962"/>
      <c r="L3" s="962"/>
      <c r="M3" s="962"/>
    </row>
    <row r="4" spans="1:15">
      <c r="A4" s="7"/>
      <c r="B4" s="962"/>
      <c r="C4" s="962"/>
      <c r="D4" s="962"/>
      <c r="E4" s="962"/>
      <c r="F4" s="962"/>
      <c r="G4" s="962"/>
      <c r="H4" s="962"/>
      <c r="I4" s="962"/>
      <c r="J4" s="962"/>
      <c r="K4" s="962"/>
      <c r="L4" s="962"/>
      <c r="M4" s="962"/>
    </row>
    <row r="5" spans="1:15">
      <c r="A5" s="7"/>
      <c r="B5" s="962"/>
      <c r="C5" s="962"/>
      <c r="D5" s="962"/>
      <c r="E5" s="962"/>
      <c r="F5" s="982"/>
      <c r="G5" s="962"/>
      <c r="H5" s="962"/>
      <c r="I5" s="962"/>
      <c r="J5" s="962"/>
      <c r="K5" s="962"/>
      <c r="L5" s="962"/>
      <c r="M5" s="962"/>
      <c r="O5" s="984"/>
    </row>
    <row r="6" spans="1:15">
      <c r="A6" s="7"/>
      <c r="B6" s="958"/>
      <c r="C6" s="958"/>
      <c r="D6" s="968"/>
      <c r="E6" s="968"/>
      <c r="F6" s="968"/>
      <c r="G6" s="958"/>
      <c r="H6" s="958"/>
      <c r="I6" s="968"/>
      <c r="J6" s="968"/>
      <c r="K6" s="968"/>
      <c r="L6" s="968"/>
      <c r="M6" s="968"/>
      <c r="O6" s="984"/>
    </row>
    <row r="7" spans="1:15">
      <c r="A7" s="1114" t="s">
        <v>1044</v>
      </c>
      <c r="B7" s="1114"/>
      <c r="C7" s="1114"/>
      <c r="D7" s="979"/>
      <c r="E7" s="979"/>
      <c r="F7" s="979"/>
      <c r="G7" s="979"/>
      <c r="H7" s="979"/>
      <c r="I7" s="979"/>
      <c r="J7" s="979"/>
      <c r="K7" s="979"/>
      <c r="L7" s="979"/>
      <c r="M7" s="979"/>
      <c r="N7" s="985"/>
      <c r="O7" s="984"/>
    </row>
    <row r="8" spans="1:15">
      <c r="A8" s="7" t="s">
        <v>724</v>
      </c>
      <c r="B8" s="958" t="s">
        <v>1045</v>
      </c>
      <c r="C8" s="958"/>
      <c r="D8" s="986" t="str">
        <f>+E8</f>
        <v>Project</v>
      </c>
      <c r="E8" s="986" t="s">
        <v>518</v>
      </c>
      <c r="F8" s="986" t="s">
        <v>518</v>
      </c>
      <c r="G8" s="987" t="s">
        <v>57</v>
      </c>
      <c r="H8" s="958"/>
      <c r="I8" s="958"/>
      <c r="J8" s="958"/>
      <c r="K8" s="958"/>
      <c r="L8" s="230"/>
      <c r="M8" s="958"/>
      <c r="N8" s="988"/>
      <c r="O8" s="984"/>
    </row>
    <row r="9" spans="1:15">
      <c r="A9" s="7"/>
      <c r="C9" s="958"/>
      <c r="D9" s="958"/>
      <c r="E9" s="958"/>
      <c r="F9" s="958"/>
      <c r="G9" s="958"/>
      <c r="H9" s="958"/>
      <c r="I9" s="958"/>
      <c r="J9" s="958"/>
      <c r="K9" s="958"/>
      <c r="L9" s="958"/>
      <c r="M9" s="958"/>
      <c r="N9" s="988"/>
      <c r="O9" s="984"/>
    </row>
    <row r="10" spans="1:15">
      <c r="A10" s="7">
        <v>1</v>
      </c>
      <c r="B10" s="672" t="s">
        <v>1046</v>
      </c>
      <c r="C10" s="989"/>
      <c r="D10" s="990"/>
      <c r="E10" s="990"/>
      <c r="F10" s="990">
        <v>893930673.09000003</v>
      </c>
      <c r="G10" s="42">
        <f>+D10+E10+F10</f>
        <v>893930673.09000003</v>
      </c>
      <c r="H10" s="958"/>
      <c r="I10" s="958"/>
      <c r="J10" s="958"/>
      <c r="K10" s="958"/>
      <c r="L10" s="958"/>
      <c r="M10" s="958"/>
      <c r="N10" s="988"/>
      <c r="O10" s="984"/>
    </row>
    <row r="11" spans="1:15">
      <c r="A11" s="7" t="s">
        <v>269</v>
      </c>
      <c r="B11" s="672"/>
      <c r="C11" s="989"/>
      <c r="D11" s="990"/>
      <c r="E11" s="990"/>
      <c r="F11" s="990"/>
      <c r="G11" s="42">
        <f t="shared" ref="G11:G25" si="0">+D11+E11+F11</f>
        <v>0</v>
      </c>
      <c r="H11" s="979"/>
      <c r="I11" s="979"/>
      <c r="J11" s="979"/>
      <c r="K11" s="979"/>
      <c r="L11" s="979"/>
      <c r="M11" s="958"/>
      <c r="N11" s="991"/>
      <c r="O11" s="984"/>
    </row>
    <row r="12" spans="1:15">
      <c r="A12" s="7" t="s">
        <v>900</v>
      </c>
      <c r="B12" s="672"/>
      <c r="C12" s="992"/>
      <c r="D12" s="993"/>
      <c r="E12" s="993"/>
      <c r="F12" s="993"/>
      <c r="G12" s="42">
        <f t="shared" si="0"/>
        <v>0</v>
      </c>
      <c r="H12" s="994"/>
      <c r="I12" s="994"/>
      <c r="J12" s="994"/>
      <c r="K12" s="994"/>
      <c r="L12" s="994"/>
      <c r="M12" s="958"/>
      <c r="N12" s="991"/>
      <c r="O12" s="984"/>
    </row>
    <row r="13" spans="1:15">
      <c r="A13" s="7" t="s">
        <v>901</v>
      </c>
      <c r="B13" s="672"/>
      <c r="C13" s="992"/>
      <c r="D13" s="672"/>
      <c r="E13" s="672"/>
      <c r="F13" s="672"/>
      <c r="G13" s="42">
        <f t="shared" si="0"/>
        <v>0</v>
      </c>
      <c r="H13" s="958"/>
      <c r="I13" s="958"/>
      <c r="J13" s="958"/>
      <c r="K13" s="958"/>
      <c r="L13" s="958"/>
      <c r="M13" s="958"/>
      <c r="N13" s="991"/>
      <c r="O13" s="984"/>
    </row>
    <row r="14" spans="1:15">
      <c r="A14" s="7" t="s">
        <v>271</v>
      </c>
      <c r="B14" s="672"/>
      <c r="C14" s="992"/>
      <c r="D14" s="672"/>
      <c r="E14" s="672"/>
      <c r="F14" s="672"/>
      <c r="G14" s="42">
        <f t="shared" si="0"/>
        <v>0</v>
      </c>
      <c r="H14" s="958"/>
      <c r="I14" s="958"/>
      <c r="J14" s="958"/>
      <c r="K14" s="958"/>
      <c r="L14" s="958"/>
      <c r="M14" s="958"/>
      <c r="N14" s="991"/>
      <c r="O14" s="984"/>
    </row>
    <row r="15" spans="1:15">
      <c r="A15" s="7" t="s">
        <v>271</v>
      </c>
      <c r="B15" s="672"/>
      <c r="C15" s="992"/>
      <c r="D15" s="672"/>
      <c r="E15" s="672"/>
      <c r="F15" s="672"/>
      <c r="G15" s="42">
        <f t="shared" si="0"/>
        <v>0</v>
      </c>
      <c r="H15" s="958"/>
      <c r="I15" s="958"/>
      <c r="J15" s="958"/>
      <c r="K15" s="958"/>
      <c r="L15" s="958"/>
      <c r="M15" s="958"/>
      <c r="N15" s="991"/>
      <c r="O15" s="984"/>
    </row>
    <row r="16" spans="1:15">
      <c r="A16" s="7" t="s">
        <v>271</v>
      </c>
      <c r="B16" s="672"/>
      <c r="C16" s="992"/>
      <c r="D16" s="672"/>
      <c r="E16" s="672"/>
      <c r="F16" s="672"/>
      <c r="G16" s="42">
        <f t="shared" si="0"/>
        <v>0</v>
      </c>
      <c r="H16" s="958"/>
      <c r="I16" s="958"/>
      <c r="J16" s="958"/>
      <c r="K16" s="958"/>
      <c r="L16" s="958"/>
      <c r="M16" s="958"/>
      <c r="N16" s="991"/>
      <c r="O16" s="984"/>
    </row>
    <row r="17" spans="1:15">
      <c r="A17" s="7" t="s">
        <v>271</v>
      </c>
      <c r="B17" s="672"/>
      <c r="C17" s="992"/>
      <c r="D17" s="672"/>
      <c r="E17" s="672"/>
      <c r="F17" s="672"/>
      <c r="G17" s="42">
        <f t="shared" si="0"/>
        <v>0</v>
      </c>
      <c r="H17" s="958"/>
      <c r="I17" s="958"/>
      <c r="J17" s="958"/>
      <c r="K17" s="958"/>
      <c r="L17" s="958"/>
      <c r="M17" s="958"/>
      <c r="N17" s="991"/>
      <c r="O17" s="984"/>
    </row>
    <row r="18" spans="1:15">
      <c r="A18" s="7" t="s">
        <v>271</v>
      </c>
      <c r="B18" s="672"/>
      <c r="C18" s="992"/>
      <c r="D18" s="672"/>
      <c r="E18" s="672"/>
      <c r="F18" s="672"/>
      <c r="G18" s="42">
        <f t="shared" si="0"/>
        <v>0</v>
      </c>
      <c r="H18" s="958"/>
      <c r="I18" s="958"/>
      <c r="J18" s="958"/>
      <c r="K18" s="958"/>
      <c r="L18" s="958"/>
      <c r="M18" s="958"/>
      <c r="N18" s="991"/>
      <c r="O18" s="984"/>
    </row>
    <row r="19" spans="1:15">
      <c r="A19" s="7" t="s">
        <v>271</v>
      </c>
      <c r="B19" s="672"/>
      <c r="C19" s="992"/>
      <c r="D19" s="672"/>
      <c r="E19" s="672"/>
      <c r="F19" s="672"/>
      <c r="G19" s="42">
        <f t="shared" si="0"/>
        <v>0</v>
      </c>
      <c r="H19" s="958"/>
      <c r="I19" s="958"/>
      <c r="J19" s="958"/>
      <c r="K19" s="958"/>
      <c r="L19" s="958"/>
      <c r="M19" s="958"/>
      <c r="N19" s="991"/>
      <c r="O19" s="984"/>
    </row>
    <row r="20" spans="1:15">
      <c r="A20" s="7" t="s">
        <v>271</v>
      </c>
      <c r="B20" s="672"/>
      <c r="C20" s="992"/>
      <c r="D20" s="672"/>
      <c r="E20" s="672"/>
      <c r="F20" s="672"/>
      <c r="G20" s="42">
        <f t="shared" si="0"/>
        <v>0</v>
      </c>
      <c r="H20" s="958"/>
      <c r="I20" s="958"/>
      <c r="J20" s="958"/>
      <c r="K20" s="958"/>
      <c r="L20" s="958"/>
      <c r="M20" s="958"/>
      <c r="N20" s="991"/>
      <c r="O20" s="984"/>
    </row>
    <row r="21" spans="1:15">
      <c r="A21" s="7" t="s">
        <v>271</v>
      </c>
      <c r="B21" s="672"/>
      <c r="C21" s="992"/>
      <c r="D21" s="672"/>
      <c r="E21" s="672"/>
      <c r="F21" s="672"/>
      <c r="G21" s="42">
        <f t="shared" si="0"/>
        <v>0</v>
      </c>
      <c r="H21" s="958"/>
      <c r="I21" s="958"/>
      <c r="J21" s="958"/>
      <c r="K21" s="958"/>
      <c r="L21" s="958"/>
      <c r="M21" s="958"/>
      <c r="N21" s="991"/>
      <c r="O21" s="984"/>
    </row>
    <row r="22" spans="1:15">
      <c r="A22" s="7" t="s">
        <v>271</v>
      </c>
      <c r="B22" s="672"/>
      <c r="C22" s="992"/>
      <c r="D22" s="672"/>
      <c r="E22" s="672"/>
      <c r="F22" s="672"/>
      <c r="G22" s="42">
        <f t="shared" si="0"/>
        <v>0</v>
      </c>
      <c r="H22" s="958"/>
      <c r="I22" s="958"/>
      <c r="J22" s="958"/>
      <c r="K22" s="958"/>
      <c r="L22" s="958"/>
      <c r="M22" s="958"/>
      <c r="N22" s="991"/>
      <c r="O22" s="984"/>
    </row>
    <row r="23" spans="1:15">
      <c r="A23" s="7" t="s">
        <v>271</v>
      </c>
      <c r="B23" s="672"/>
      <c r="C23" s="992"/>
      <c r="D23" s="672"/>
      <c r="E23" s="672"/>
      <c r="F23" s="672"/>
      <c r="G23" s="42">
        <f t="shared" si="0"/>
        <v>0</v>
      </c>
      <c r="H23" s="958"/>
      <c r="I23" s="958"/>
      <c r="J23" s="958"/>
      <c r="K23" s="958"/>
      <c r="L23" s="958"/>
      <c r="M23" s="958"/>
      <c r="N23" s="991"/>
      <c r="O23" s="984"/>
    </row>
    <row r="24" spans="1:15">
      <c r="A24" s="7"/>
      <c r="B24" s="672"/>
      <c r="C24" s="992"/>
      <c r="D24" s="672"/>
      <c r="E24" s="672"/>
      <c r="F24" s="672"/>
      <c r="G24" s="42">
        <f t="shared" si="0"/>
        <v>0</v>
      </c>
      <c r="H24" s="958"/>
      <c r="I24" s="958"/>
      <c r="J24" s="958"/>
      <c r="K24" s="958"/>
      <c r="L24" s="958"/>
      <c r="M24" s="958"/>
      <c r="N24" s="991"/>
      <c r="O24" s="984"/>
    </row>
    <row r="25" spans="1:15">
      <c r="A25" s="7" t="s">
        <v>273</v>
      </c>
      <c r="B25" s="672"/>
      <c r="C25" s="992"/>
      <c r="D25" s="672"/>
      <c r="E25" s="672"/>
      <c r="F25" s="672"/>
      <c r="G25" s="42">
        <f t="shared" si="0"/>
        <v>0</v>
      </c>
      <c r="H25" s="958"/>
      <c r="I25" s="958"/>
      <c r="J25" s="958"/>
      <c r="K25" s="958"/>
      <c r="L25" s="958"/>
      <c r="M25" s="958"/>
      <c r="N25" s="991"/>
      <c r="O25" s="984"/>
    </row>
    <row r="26" spans="1:15">
      <c r="A26" s="7">
        <v>2</v>
      </c>
      <c r="B26" s="43" t="s">
        <v>1047</v>
      </c>
      <c r="C26" s="995"/>
      <c r="D26" s="42">
        <f>SUM(D10:D25)</f>
        <v>0</v>
      </c>
      <c r="E26" s="42">
        <f t="shared" ref="E26:F26" si="1">SUM(E10:E25)</f>
        <v>0</v>
      </c>
      <c r="F26" s="42">
        <f t="shared" si="1"/>
        <v>893930673.09000003</v>
      </c>
      <c r="G26" s="42">
        <f>SUM(G9:G25)</f>
        <v>893930673.09000003</v>
      </c>
      <c r="H26" s="958"/>
      <c r="I26" s="958"/>
      <c r="J26" s="958"/>
      <c r="K26" s="958"/>
      <c r="L26" s="958"/>
      <c r="M26" s="958"/>
      <c r="N26" s="991"/>
      <c r="O26" s="984"/>
    </row>
    <row r="27" spans="1:15">
      <c r="A27" s="7"/>
      <c r="B27" s="958"/>
      <c r="C27" s="996"/>
      <c r="D27" s="958"/>
      <c r="E27" s="958"/>
      <c r="F27" s="958"/>
      <c r="G27" s="958"/>
      <c r="H27" s="958"/>
      <c r="I27" s="958"/>
      <c r="J27" s="958"/>
      <c r="K27" s="958"/>
      <c r="L27" s="958"/>
      <c r="M27" s="958"/>
      <c r="N27" s="991"/>
      <c r="O27" s="984"/>
    </row>
    <row r="28" spans="1:15">
      <c r="A28" s="7"/>
      <c r="B28" s="958"/>
      <c r="C28" s="996"/>
      <c r="D28" s="958"/>
      <c r="E28" s="958"/>
      <c r="F28" s="958"/>
      <c r="G28" s="958"/>
      <c r="H28" s="958"/>
      <c r="I28" s="958"/>
      <c r="J28" s="958"/>
      <c r="K28" s="958"/>
      <c r="L28" s="958"/>
      <c r="M28" s="958"/>
      <c r="N28" s="991"/>
      <c r="O28" s="984"/>
    </row>
    <row r="29" spans="1:15">
      <c r="A29" s="7"/>
      <c r="B29" s="958" t="s">
        <v>1048</v>
      </c>
      <c r="C29" s="958"/>
      <c r="D29" s="958"/>
      <c r="E29" s="958"/>
      <c r="F29" s="958"/>
      <c r="G29" s="958"/>
      <c r="H29" s="958"/>
      <c r="I29" s="958"/>
      <c r="J29" s="958"/>
      <c r="K29" s="958"/>
      <c r="L29" s="958"/>
      <c r="M29" s="958"/>
      <c r="O29" s="984"/>
    </row>
    <row r="30" spans="1:15">
      <c r="A30" s="7"/>
      <c r="B30" s="958"/>
      <c r="C30" s="958"/>
      <c r="D30" s="958"/>
      <c r="E30" s="958"/>
      <c r="F30" s="958"/>
      <c r="G30" s="958"/>
      <c r="H30" s="958"/>
      <c r="I30" s="958"/>
      <c r="J30" s="958"/>
      <c r="K30" s="958"/>
      <c r="L30" s="958"/>
      <c r="M30" s="958"/>
      <c r="O30" s="984"/>
    </row>
    <row r="31" spans="1:15">
      <c r="A31" s="7"/>
      <c r="B31" s="958"/>
      <c r="C31" s="958"/>
      <c r="D31" s="958"/>
      <c r="E31" s="958"/>
      <c r="F31" s="958"/>
      <c r="G31" s="958"/>
      <c r="H31" s="958"/>
      <c r="I31" s="958"/>
      <c r="J31" s="958"/>
      <c r="K31" s="958"/>
      <c r="L31" s="958"/>
      <c r="M31" s="958"/>
      <c r="O31" s="984"/>
    </row>
    <row r="32" spans="1:15">
      <c r="A32" s="978" t="s">
        <v>1049</v>
      </c>
      <c r="B32" s="978"/>
      <c r="C32" s="978"/>
      <c r="D32" s="958"/>
      <c r="E32" s="958"/>
      <c r="F32" s="958"/>
      <c r="G32" s="958"/>
      <c r="H32" s="958"/>
      <c r="I32" s="958"/>
      <c r="J32" s="958"/>
      <c r="K32" s="958"/>
      <c r="L32" s="958"/>
      <c r="M32" s="958"/>
      <c r="O32" s="984"/>
    </row>
    <row r="33" spans="1:15">
      <c r="A33" s="7"/>
      <c r="B33" s="958"/>
      <c r="C33" s="958"/>
      <c r="D33" s="958"/>
      <c r="E33" s="958"/>
      <c r="F33" s="958"/>
      <c r="G33" s="958"/>
      <c r="H33" s="958"/>
      <c r="I33" s="958"/>
      <c r="J33" s="958"/>
      <c r="K33" s="958"/>
      <c r="L33" s="958"/>
      <c r="M33" s="958"/>
      <c r="O33" s="984"/>
    </row>
    <row r="34" spans="1:15">
      <c r="A34" s="7"/>
      <c r="B34" s="958"/>
      <c r="C34" s="958"/>
      <c r="D34" s="958"/>
      <c r="E34" s="958"/>
      <c r="F34" s="958"/>
      <c r="G34" s="958"/>
      <c r="H34" s="958"/>
      <c r="I34" s="958"/>
      <c r="J34" s="958"/>
      <c r="K34" s="958"/>
      <c r="L34" s="958"/>
      <c r="M34" s="958"/>
      <c r="O34" s="984"/>
    </row>
    <row r="35" spans="1:15">
      <c r="A35" s="7"/>
      <c r="B35" s="958" t="s">
        <v>518</v>
      </c>
      <c r="C35" s="968">
        <v>350</v>
      </c>
      <c r="D35" s="968">
        <v>352</v>
      </c>
      <c r="E35" s="968">
        <v>352</v>
      </c>
      <c r="F35" s="968">
        <v>353</v>
      </c>
      <c r="G35" s="968">
        <v>354</v>
      </c>
      <c r="H35" s="968">
        <v>355</v>
      </c>
      <c r="I35" s="968">
        <v>356</v>
      </c>
      <c r="J35" s="968">
        <v>357</v>
      </c>
      <c r="K35" s="968">
        <v>358</v>
      </c>
      <c r="L35" s="968">
        <v>359</v>
      </c>
      <c r="M35" s="957"/>
      <c r="O35" s="984"/>
    </row>
    <row r="36" spans="1:15" ht="64.5" customHeight="1">
      <c r="A36" s="7"/>
      <c r="B36" s="958"/>
      <c r="C36" s="966" t="s">
        <v>1050</v>
      </c>
      <c r="D36" s="966" t="s">
        <v>1051</v>
      </c>
      <c r="E36" s="966" t="s">
        <v>1052</v>
      </c>
      <c r="F36" s="966" t="s">
        <v>1053</v>
      </c>
      <c r="G36" s="966" t="s">
        <v>1054</v>
      </c>
      <c r="H36" s="966" t="s">
        <v>1055</v>
      </c>
      <c r="I36" s="966" t="s">
        <v>1056</v>
      </c>
      <c r="J36" s="966" t="s">
        <v>1057</v>
      </c>
      <c r="K36" s="966" t="s">
        <v>1058</v>
      </c>
      <c r="L36" s="966" t="s">
        <v>1059</v>
      </c>
      <c r="M36" s="966" t="s">
        <v>57</v>
      </c>
      <c r="O36" s="984"/>
    </row>
    <row r="37" spans="1:15">
      <c r="A37" s="7">
        <v>3</v>
      </c>
      <c r="B37" s="969"/>
      <c r="C37" s="993"/>
      <c r="D37" s="993"/>
      <c r="E37" s="993"/>
      <c r="F37" s="993"/>
      <c r="G37" s="993"/>
      <c r="H37" s="993"/>
      <c r="I37" s="993"/>
      <c r="J37" s="993"/>
      <c r="K37" s="993"/>
      <c r="L37" s="993"/>
      <c r="M37" s="997">
        <f t="shared" ref="M37:M53" si="2">SUM(C37:L37)</f>
        <v>0</v>
      </c>
      <c r="O37" s="984"/>
    </row>
    <row r="38" spans="1:15">
      <c r="A38" s="7" t="s">
        <v>10</v>
      </c>
      <c r="B38" s="969"/>
      <c r="C38" s="672"/>
      <c r="D38" s="672"/>
      <c r="E38" s="672"/>
      <c r="F38" s="672"/>
      <c r="G38" s="672"/>
      <c r="H38" s="672"/>
      <c r="I38" s="672"/>
      <c r="J38" s="672"/>
      <c r="K38" s="672"/>
      <c r="L38" s="672"/>
      <c r="M38" s="997">
        <f t="shared" si="2"/>
        <v>0</v>
      </c>
      <c r="O38" s="984"/>
    </row>
    <row r="39" spans="1:15">
      <c r="A39" s="7" t="s">
        <v>1060</v>
      </c>
      <c r="B39" s="969"/>
      <c r="C39" s="672"/>
      <c r="D39" s="672"/>
      <c r="E39" s="672"/>
      <c r="F39" s="672"/>
      <c r="G39" s="672"/>
      <c r="H39" s="672"/>
      <c r="I39" s="672"/>
      <c r="J39" s="672"/>
      <c r="K39" s="672"/>
      <c r="L39" s="672"/>
      <c r="M39" s="997">
        <f t="shared" si="2"/>
        <v>0</v>
      </c>
      <c r="O39" s="984"/>
    </row>
    <row r="40" spans="1:15">
      <c r="A40" s="7" t="s">
        <v>1061</v>
      </c>
      <c r="B40" s="969"/>
      <c r="C40" s="672"/>
      <c r="D40" s="672"/>
      <c r="E40" s="672"/>
      <c r="F40" s="672"/>
      <c r="G40" s="672"/>
      <c r="H40" s="672"/>
      <c r="I40" s="672"/>
      <c r="J40" s="672"/>
      <c r="K40" s="672"/>
      <c r="L40" s="672"/>
      <c r="M40" s="997">
        <f t="shared" si="2"/>
        <v>0</v>
      </c>
      <c r="O40" s="984"/>
    </row>
    <row r="41" spans="1:15">
      <c r="A41" s="7" t="s">
        <v>271</v>
      </c>
      <c r="B41" s="969"/>
      <c r="C41" s="672"/>
      <c r="D41" s="672"/>
      <c r="E41" s="672"/>
      <c r="F41" s="672"/>
      <c r="G41" s="672"/>
      <c r="H41" s="672"/>
      <c r="I41" s="672"/>
      <c r="J41" s="672"/>
      <c r="K41" s="672"/>
      <c r="L41" s="672"/>
      <c r="M41" s="997">
        <f t="shared" si="2"/>
        <v>0</v>
      </c>
      <c r="O41" s="984"/>
    </row>
    <row r="42" spans="1:15">
      <c r="A42" s="7" t="s">
        <v>271</v>
      </c>
      <c r="B42" s="969"/>
      <c r="C42" s="672"/>
      <c r="D42" s="672"/>
      <c r="E42" s="672"/>
      <c r="F42" s="672"/>
      <c r="G42" s="672"/>
      <c r="H42" s="672"/>
      <c r="I42" s="672"/>
      <c r="J42" s="672"/>
      <c r="K42" s="672"/>
      <c r="L42" s="672"/>
      <c r="M42" s="997">
        <f t="shared" si="2"/>
        <v>0</v>
      </c>
      <c r="O42" s="984"/>
    </row>
    <row r="43" spans="1:15">
      <c r="A43" s="7" t="s">
        <v>271</v>
      </c>
      <c r="B43" s="969"/>
      <c r="C43" s="672"/>
      <c r="D43" s="672"/>
      <c r="E43" s="672"/>
      <c r="F43" s="672"/>
      <c r="G43" s="672"/>
      <c r="H43" s="672"/>
      <c r="I43" s="672"/>
      <c r="J43" s="672"/>
      <c r="K43" s="672"/>
      <c r="L43" s="672"/>
      <c r="M43" s="997">
        <f t="shared" si="2"/>
        <v>0</v>
      </c>
      <c r="O43" s="984"/>
    </row>
    <row r="44" spans="1:15">
      <c r="A44" s="7" t="s">
        <v>271</v>
      </c>
      <c r="B44" s="969"/>
      <c r="C44" s="672"/>
      <c r="D44" s="672"/>
      <c r="E44" s="672"/>
      <c r="F44" s="672"/>
      <c r="G44" s="672"/>
      <c r="H44" s="672"/>
      <c r="I44" s="672"/>
      <c r="J44" s="672"/>
      <c r="K44" s="672"/>
      <c r="L44" s="672"/>
      <c r="M44" s="997">
        <f t="shared" si="2"/>
        <v>0</v>
      </c>
      <c r="O44" s="984"/>
    </row>
    <row r="45" spans="1:15">
      <c r="A45" s="7" t="s">
        <v>271</v>
      </c>
      <c r="B45" s="969"/>
      <c r="C45" s="672"/>
      <c r="D45" s="672"/>
      <c r="E45" s="672"/>
      <c r="F45" s="672"/>
      <c r="G45" s="672"/>
      <c r="H45" s="672"/>
      <c r="I45" s="672"/>
      <c r="J45" s="672"/>
      <c r="K45" s="672"/>
      <c r="L45" s="672"/>
      <c r="M45" s="997">
        <f t="shared" si="2"/>
        <v>0</v>
      </c>
      <c r="O45" s="984"/>
    </row>
    <row r="46" spans="1:15">
      <c r="A46" s="7" t="s">
        <v>271</v>
      </c>
      <c r="B46" s="969"/>
      <c r="C46" s="672"/>
      <c r="D46" s="672"/>
      <c r="E46" s="672"/>
      <c r="F46" s="672"/>
      <c r="G46" s="672"/>
      <c r="H46" s="672"/>
      <c r="I46" s="672"/>
      <c r="J46" s="672"/>
      <c r="K46" s="672"/>
      <c r="L46" s="672"/>
      <c r="M46" s="997">
        <f t="shared" si="2"/>
        <v>0</v>
      </c>
      <c r="O46" s="984"/>
    </row>
    <row r="47" spans="1:15">
      <c r="A47" s="7" t="s">
        <v>271</v>
      </c>
      <c r="B47" s="969"/>
      <c r="C47" s="672"/>
      <c r="D47" s="672"/>
      <c r="E47" s="672"/>
      <c r="F47" s="672"/>
      <c r="G47" s="672"/>
      <c r="H47" s="672"/>
      <c r="I47" s="672"/>
      <c r="J47" s="672"/>
      <c r="K47" s="672"/>
      <c r="L47" s="672"/>
      <c r="M47" s="997">
        <f t="shared" si="2"/>
        <v>0</v>
      </c>
      <c r="O47" s="984"/>
    </row>
    <row r="48" spans="1:15">
      <c r="A48" s="7" t="s">
        <v>271</v>
      </c>
      <c r="B48" s="969"/>
      <c r="C48" s="672"/>
      <c r="D48" s="672"/>
      <c r="E48" s="672"/>
      <c r="F48" s="672"/>
      <c r="G48" s="672"/>
      <c r="H48" s="672"/>
      <c r="I48" s="672"/>
      <c r="J48" s="672"/>
      <c r="K48" s="672"/>
      <c r="L48" s="672"/>
      <c r="M48" s="997">
        <f t="shared" si="2"/>
        <v>0</v>
      </c>
      <c r="O48" s="984"/>
    </row>
    <row r="49" spans="1:15">
      <c r="A49" s="7" t="s">
        <v>271</v>
      </c>
      <c r="B49" s="969"/>
      <c r="C49" s="672"/>
      <c r="D49" s="672"/>
      <c r="E49" s="672"/>
      <c r="F49" s="672"/>
      <c r="G49" s="672"/>
      <c r="H49" s="672"/>
      <c r="I49" s="672"/>
      <c r="J49" s="672"/>
      <c r="K49" s="672"/>
      <c r="L49" s="672"/>
      <c r="M49" s="997">
        <f t="shared" si="2"/>
        <v>0</v>
      </c>
      <c r="O49" s="984"/>
    </row>
    <row r="50" spans="1:15">
      <c r="A50" s="7"/>
      <c r="B50" s="969"/>
      <c r="C50" s="672"/>
      <c r="D50" s="672"/>
      <c r="E50" s="672"/>
      <c r="F50" s="672"/>
      <c r="G50" s="672"/>
      <c r="H50" s="672"/>
      <c r="I50" s="672"/>
      <c r="J50" s="672"/>
      <c r="K50" s="672"/>
      <c r="L50" s="672"/>
      <c r="M50" s="997">
        <f t="shared" si="2"/>
        <v>0</v>
      </c>
      <c r="O50" s="984"/>
    </row>
    <row r="51" spans="1:15">
      <c r="A51" s="7"/>
      <c r="B51" s="969"/>
      <c r="C51" s="672"/>
      <c r="D51" s="672"/>
      <c r="E51" s="672"/>
      <c r="F51" s="672"/>
      <c r="G51" s="672"/>
      <c r="H51" s="672"/>
      <c r="I51" s="672"/>
      <c r="J51" s="672"/>
      <c r="K51" s="672"/>
      <c r="L51" s="672"/>
      <c r="M51" s="997">
        <f t="shared" si="2"/>
        <v>0</v>
      </c>
      <c r="O51" s="984"/>
    </row>
    <row r="52" spans="1:15">
      <c r="A52" s="7"/>
      <c r="B52" s="969"/>
      <c r="C52" s="672"/>
      <c r="D52" s="672"/>
      <c r="E52" s="672"/>
      <c r="F52" s="672"/>
      <c r="G52" s="672"/>
      <c r="H52" s="672"/>
      <c r="I52" s="672"/>
      <c r="J52" s="672"/>
      <c r="K52" s="672"/>
      <c r="L52" s="672"/>
      <c r="M52" s="997">
        <f t="shared" si="2"/>
        <v>0</v>
      </c>
      <c r="O52" s="984"/>
    </row>
    <row r="53" spans="1:15">
      <c r="A53" s="7" t="s">
        <v>1062</v>
      </c>
      <c r="B53" s="969"/>
      <c r="C53" s="672"/>
      <c r="D53" s="672"/>
      <c r="E53" s="672"/>
      <c r="F53" s="672"/>
      <c r="G53" s="672"/>
      <c r="H53" s="672"/>
      <c r="I53" s="672"/>
      <c r="J53" s="672"/>
      <c r="K53" s="672"/>
      <c r="L53" s="672"/>
      <c r="M53" s="997">
        <f t="shared" si="2"/>
        <v>0</v>
      </c>
      <c r="O53" s="984"/>
    </row>
    <row r="54" spans="1:15">
      <c r="A54" s="7">
        <v>4</v>
      </c>
      <c r="B54" s="962" t="s">
        <v>1063</v>
      </c>
      <c r="C54" s="43">
        <f>SUM(C37:C53)</f>
        <v>0</v>
      </c>
      <c r="D54" s="43">
        <f t="shared" ref="D54:L54" si="3">SUM(D37:D53)</f>
        <v>0</v>
      </c>
      <c r="E54" s="43">
        <f t="shared" si="3"/>
        <v>0</v>
      </c>
      <c r="F54" s="43">
        <f t="shared" si="3"/>
        <v>0</v>
      </c>
      <c r="G54" s="43">
        <f t="shared" si="3"/>
        <v>0</v>
      </c>
      <c r="H54" s="43">
        <f t="shared" si="3"/>
        <v>0</v>
      </c>
      <c r="I54" s="43">
        <f t="shared" si="3"/>
        <v>0</v>
      </c>
      <c r="J54" s="43">
        <f t="shared" si="3"/>
        <v>0</v>
      </c>
      <c r="K54" s="43">
        <f t="shared" si="3"/>
        <v>0</v>
      </c>
      <c r="L54" s="43">
        <f t="shared" si="3"/>
        <v>0</v>
      </c>
      <c r="M54" s="43">
        <f>SUM(M37:M53)</f>
        <v>0</v>
      </c>
      <c r="O54" s="984"/>
    </row>
    <row r="55" spans="1:15">
      <c r="A55" s="7"/>
      <c r="B55" s="962"/>
      <c r="C55" s="43"/>
      <c r="D55" s="43"/>
      <c r="E55" s="43"/>
      <c r="F55" s="43"/>
      <c r="G55" s="43"/>
      <c r="H55" s="43"/>
      <c r="I55" s="43"/>
      <c r="J55" s="43"/>
      <c r="K55" s="43"/>
      <c r="L55" s="43"/>
      <c r="M55" s="43"/>
      <c r="O55" s="984"/>
    </row>
    <row r="56" spans="1:15">
      <c r="A56" s="7"/>
      <c r="B56" s="962"/>
      <c r="C56" s="43"/>
      <c r="D56" s="43"/>
      <c r="E56" s="43"/>
      <c r="F56" s="43"/>
      <c r="G56" s="43"/>
      <c r="H56" s="43"/>
      <c r="I56" s="43"/>
      <c r="J56" s="43"/>
      <c r="K56" s="43"/>
      <c r="L56" s="43"/>
      <c r="M56" s="43"/>
      <c r="O56" s="984"/>
    </row>
    <row r="57" spans="1:15">
      <c r="A57" s="7"/>
      <c r="B57" s="962"/>
      <c r="C57" s="962"/>
      <c r="D57" s="962"/>
      <c r="E57" s="962"/>
      <c r="F57" s="962"/>
      <c r="G57" s="962"/>
      <c r="H57" s="962"/>
      <c r="I57" s="962"/>
      <c r="J57" s="962"/>
      <c r="K57" s="962"/>
      <c r="L57" s="962"/>
      <c r="M57" s="962"/>
      <c r="O57" s="984"/>
    </row>
    <row r="58" spans="1:15">
      <c r="A58" s="7"/>
      <c r="B58" s="962"/>
      <c r="C58" s="962"/>
      <c r="D58" s="962"/>
      <c r="E58" s="962"/>
      <c r="F58" s="962"/>
      <c r="G58" s="962"/>
      <c r="H58" s="962"/>
      <c r="I58" s="962"/>
      <c r="J58" s="962"/>
      <c r="K58" s="962"/>
      <c r="L58" s="962"/>
      <c r="M58" s="962"/>
      <c r="O58" s="984"/>
    </row>
    <row r="59" spans="1:15">
      <c r="A59" s="7"/>
      <c r="B59" s="962"/>
      <c r="C59" s="962"/>
      <c r="D59" s="962"/>
      <c r="E59" s="962"/>
      <c r="F59" s="962"/>
      <c r="G59" s="962"/>
      <c r="H59" s="962"/>
      <c r="I59" s="962"/>
      <c r="J59" s="962"/>
      <c r="K59" s="962"/>
      <c r="L59" s="962"/>
      <c r="M59" s="962"/>
      <c r="O59" s="984"/>
    </row>
    <row r="60" spans="1:15">
      <c r="A60" s="7"/>
      <c r="B60" s="962"/>
      <c r="C60" s="962"/>
      <c r="D60" s="962"/>
      <c r="E60" s="962"/>
      <c r="F60" s="962"/>
      <c r="G60" s="962"/>
      <c r="H60" s="962"/>
      <c r="I60" s="962"/>
      <c r="J60" s="962"/>
      <c r="K60" s="962"/>
      <c r="L60" s="962"/>
      <c r="M60" s="962"/>
      <c r="O60" s="984"/>
    </row>
    <row r="61" spans="1:15">
      <c r="O61" s="984"/>
    </row>
    <row r="62" spans="1:15">
      <c r="O62" s="984"/>
    </row>
    <row r="63" spans="1:15">
      <c r="O63" s="984"/>
    </row>
    <row r="64" spans="1:15">
      <c r="O64" s="984"/>
    </row>
    <row r="65" spans="15:15">
      <c r="O65" s="984"/>
    </row>
    <row r="66" spans="15:15">
      <c r="O66" s="984"/>
    </row>
    <row r="67" spans="15:15">
      <c r="O67" s="984"/>
    </row>
    <row r="68" spans="15:15">
      <c r="O68" s="984"/>
    </row>
    <row r="69" spans="15:15">
      <c r="O69" s="984"/>
    </row>
    <row r="70" spans="15:15">
      <c r="O70" s="984"/>
    </row>
    <row r="71" spans="15:15">
      <c r="O71" s="984"/>
    </row>
    <row r="72" spans="15:15">
      <c r="O72" s="984"/>
    </row>
    <row r="73" spans="15:15">
      <c r="O73" s="984"/>
    </row>
    <row r="74" spans="15:15">
      <c r="O74" s="984"/>
    </row>
    <row r="75" spans="15:15">
      <c r="O75" s="984"/>
    </row>
    <row r="76" spans="15:15">
      <c r="O76" s="984"/>
    </row>
    <row r="77" spans="15:15">
      <c r="O77" s="984"/>
    </row>
    <row r="78" spans="15:15">
      <c r="O78" s="984"/>
    </row>
    <row r="79" spans="15:15">
      <c r="O79" s="984"/>
    </row>
    <row r="80" spans="15:15">
      <c r="O80" s="984"/>
    </row>
    <row r="81" spans="15:15">
      <c r="O81" s="984"/>
    </row>
    <row r="82" spans="15:15">
      <c r="O82" s="984"/>
    </row>
    <row r="83" spans="15:15">
      <c r="O83" s="984"/>
    </row>
    <row r="84" spans="15:15">
      <c r="O84" s="984"/>
    </row>
    <row r="85" spans="15:15">
      <c r="O85" s="984"/>
    </row>
    <row r="86" spans="15:15">
      <c r="O86" s="984"/>
    </row>
  </sheetData>
  <mergeCells count="3">
    <mergeCell ref="A1:M1"/>
    <mergeCell ref="A2:M2"/>
    <mergeCell ref="A7:C7"/>
  </mergeCells>
  <pageMargins left="0.7" right="0.7" top="0.75" bottom="0.75" header="0.3" footer="0.3"/>
  <pageSetup scale="54" orientation="landscape" r:id="rId1"/>
  <rowBreaks count="1" manualBreakCount="1">
    <brk id="30" max="16383" man="1"/>
  </rowBreaks>
  <customProperties>
    <customPr name="_pios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0FA70-4636-46AC-9EEF-E4EBFB08E65B}">
  <sheetPr>
    <pageSetUpPr fitToPage="1"/>
  </sheetPr>
  <dimension ref="A1:S66"/>
  <sheetViews>
    <sheetView workbookViewId="0">
      <selection sqref="A1:E1"/>
    </sheetView>
  </sheetViews>
  <sheetFormatPr defaultColWidth="8.77734375" defaultRowHeight="15.75"/>
  <cols>
    <col min="1" max="1" width="6" style="962" customWidth="1"/>
    <col min="2" max="2" width="71" style="962" customWidth="1"/>
    <col min="3" max="4" width="12.44140625" style="962" customWidth="1"/>
    <col min="5" max="5" width="13.109375" style="962" customWidth="1"/>
    <col min="6" max="6" width="13.44140625" style="962" customWidth="1"/>
    <col min="7" max="7" width="10.77734375" style="962" bestFit="1" customWidth="1"/>
    <col min="8" max="9" width="8.77734375" style="962"/>
    <col min="10" max="16384" width="8.77734375" style="960"/>
  </cols>
  <sheetData>
    <row r="1" spans="1:19">
      <c r="A1" s="1111" t="s">
        <v>1064</v>
      </c>
      <c r="B1" s="1111"/>
      <c r="C1" s="1111"/>
      <c r="D1" s="1111"/>
      <c r="E1" s="1111"/>
      <c r="F1" s="1111"/>
      <c r="G1" s="1111"/>
      <c r="H1" s="958"/>
      <c r="I1" s="958"/>
      <c r="J1" s="959"/>
      <c r="K1" s="959"/>
      <c r="L1" s="959"/>
      <c r="M1" s="959"/>
      <c r="N1" s="959"/>
      <c r="O1" s="959"/>
      <c r="P1" s="959"/>
      <c r="Q1" s="959"/>
      <c r="R1" s="959"/>
      <c r="S1" s="959"/>
    </row>
    <row r="2" spans="1:19">
      <c r="A2" s="1112" t="str">
        <f>+'11 - CWIP'!B2</f>
        <v>GridLiance West LLC (GLW)</v>
      </c>
      <c r="B2" s="1112"/>
      <c r="C2" s="1112"/>
      <c r="D2" s="1112"/>
      <c r="E2" s="1112"/>
      <c r="F2" s="1112"/>
      <c r="G2" s="1112"/>
      <c r="H2" s="958"/>
      <c r="I2" s="958"/>
      <c r="J2" s="959"/>
      <c r="K2" s="959"/>
      <c r="L2" s="959"/>
      <c r="M2" s="959"/>
      <c r="N2" s="959"/>
      <c r="O2" s="959"/>
      <c r="P2" s="959"/>
      <c r="Q2" s="959"/>
      <c r="R2" s="959"/>
      <c r="S2" s="959"/>
    </row>
    <row r="4" spans="1:19">
      <c r="A4" s="962" t="s">
        <v>1065</v>
      </c>
      <c r="B4" s="999"/>
      <c r="F4" s="958"/>
      <c r="G4" s="958"/>
    </row>
    <row r="5" spans="1:19" ht="16.5" thickBot="1">
      <c r="B5" s="958" t="s">
        <v>1066</v>
      </c>
      <c r="C5" s="1115"/>
      <c r="D5" s="1115"/>
      <c r="E5" s="1115"/>
      <c r="F5" s="1115"/>
      <c r="G5" s="1115"/>
    </row>
    <row r="6" spans="1:19">
      <c r="A6" s="962" t="s">
        <v>724</v>
      </c>
      <c r="B6" s="958" t="s">
        <v>1067</v>
      </c>
      <c r="C6" s="1000"/>
      <c r="D6" s="1000"/>
      <c r="E6" s="1000"/>
      <c r="F6" s="1000"/>
      <c r="G6" s="957"/>
    </row>
    <row r="7" spans="1:19">
      <c r="B7" s="958"/>
      <c r="C7" s="979"/>
      <c r="D7" s="979"/>
      <c r="E7" s="979"/>
      <c r="F7" s="979"/>
      <c r="G7" s="957" t="s">
        <v>57</v>
      </c>
    </row>
    <row r="8" spans="1:19">
      <c r="B8" s="958"/>
      <c r="C8" s="958"/>
      <c r="D8" s="1001"/>
      <c r="E8" s="958"/>
      <c r="F8" s="958"/>
      <c r="G8" s="958"/>
      <c r="L8" s="241"/>
    </row>
    <row r="9" spans="1:19">
      <c r="B9" s="958"/>
      <c r="C9" s="958"/>
      <c r="D9" s="958"/>
      <c r="E9" s="958"/>
      <c r="F9" s="958"/>
      <c r="G9" s="958"/>
    </row>
    <row r="10" spans="1:19">
      <c r="A10" s="1002">
        <v>1</v>
      </c>
      <c r="B10" s="969"/>
      <c r="C10" s="1003"/>
      <c r="D10" s="1003"/>
      <c r="E10" s="1003"/>
      <c r="F10" s="1003"/>
      <c r="G10" s="1004">
        <f>SUM(C10:F10)</f>
        <v>0</v>
      </c>
    </row>
    <row r="11" spans="1:19">
      <c r="A11" s="962" t="s">
        <v>269</v>
      </c>
      <c r="B11" s="969"/>
      <c r="C11" s="1003"/>
      <c r="D11" s="1003"/>
      <c r="E11" s="1003"/>
      <c r="F11" s="1003"/>
      <c r="G11" s="1004">
        <f t="shared" ref="G11:G16" si="0">SUM(C11:F11)</f>
        <v>0</v>
      </c>
    </row>
    <row r="12" spans="1:19">
      <c r="A12" s="962" t="s">
        <v>900</v>
      </c>
      <c r="B12" s="969"/>
      <c r="C12" s="1003"/>
      <c r="D12" s="1003"/>
      <c r="E12" s="1003"/>
      <c r="F12" s="1003"/>
      <c r="G12" s="1004">
        <f t="shared" si="0"/>
        <v>0</v>
      </c>
    </row>
    <row r="13" spans="1:19">
      <c r="A13" s="962" t="s">
        <v>901</v>
      </c>
      <c r="B13" s="969"/>
      <c r="C13" s="1003"/>
      <c r="D13" s="1003"/>
      <c r="E13" s="1003"/>
      <c r="F13" s="1003"/>
      <c r="G13" s="1004">
        <f t="shared" si="0"/>
        <v>0</v>
      </c>
    </row>
    <row r="14" spans="1:19">
      <c r="A14" s="962" t="s">
        <v>271</v>
      </c>
      <c r="B14" s="969"/>
      <c r="C14" s="1003"/>
      <c r="D14" s="1003"/>
      <c r="E14" s="1003"/>
      <c r="F14" s="1003"/>
      <c r="G14" s="1004">
        <f t="shared" si="0"/>
        <v>0</v>
      </c>
    </row>
    <row r="15" spans="1:19">
      <c r="A15" s="962" t="s">
        <v>271</v>
      </c>
      <c r="B15" s="969"/>
      <c r="C15" s="1003"/>
      <c r="D15" s="1003"/>
      <c r="E15" s="1003"/>
      <c r="F15" s="1003"/>
      <c r="G15" s="1004">
        <f t="shared" si="0"/>
        <v>0</v>
      </c>
    </row>
    <row r="16" spans="1:19">
      <c r="A16" s="962" t="s">
        <v>271</v>
      </c>
      <c r="B16" s="969"/>
      <c r="C16" s="1003"/>
      <c r="D16" s="1003"/>
      <c r="E16" s="1003"/>
      <c r="F16" s="1003"/>
      <c r="G16" s="1004">
        <f t="shared" si="0"/>
        <v>0</v>
      </c>
    </row>
    <row r="17" spans="1:7">
      <c r="B17" s="958"/>
      <c r="C17" s="1005"/>
      <c r="D17" s="1005"/>
      <c r="E17" s="1005"/>
      <c r="F17" s="1005"/>
      <c r="G17" s="1005"/>
    </row>
    <row r="18" spans="1:7">
      <c r="A18" s="962">
        <v>2</v>
      </c>
      <c r="B18" s="958" t="s">
        <v>57</v>
      </c>
      <c r="C18" s="1006">
        <f>SUM(C10:C16)</f>
        <v>0</v>
      </c>
      <c r="D18" s="1006">
        <f>SUM(D10:D16)</f>
        <v>0</v>
      </c>
      <c r="E18" s="1006">
        <f>SUM(E10:E16)</f>
        <v>0</v>
      </c>
      <c r="F18" s="1006">
        <f>SUM(F10:F16)</f>
        <v>0</v>
      </c>
      <c r="G18" s="1006">
        <f>SUM(G10:G16)</f>
        <v>0</v>
      </c>
    </row>
    <row r="21" spans="1:7">
      <c r="B21" s="962" t="s">
        <v>1068</v>
      </c>
    </row>
    <row r="22" spans="1:7">
      <c r="B22" s="958"/>
      <c r="C22" s="1111"/>
      <c r="D22" s="1111"/>
      <c r="E22" s="1111"/>
      <c r="F22" s="1111"/>
      <c r="G22" s="1111"/>
    </row>
    <row r="23" spans="1:7">
      <c r="B23" s="958"/>
      <c r="C23" s="979"/>
      <c r="D23" s="979"/>
      <c r="E23" s="979"/>
      <c r="F23" s="979"/>
      <c r="G23" s="957"/>
    </row>
    <row r="24" spans="1:7">
      <c r="B24" s="958"/>
      <c r="C24" s="979"/>
      <c r="D24" s="979"/>
      <c r="E24" s="979"/>
      <c r="F24" s="979"/>
      <c r="G24" s="957"/>
    </row>
    <row r="25" spans="1:7">
      <c r="B25" s="958"/>
      <c r="C25" s="958"/>
      <c r="D25" s="1001"/>
      <c r="E25" s="958"/>
      <c r="F25" s="958"/>
      <c r="G25" s="958"/>
    </row>
    <row r="26" spans="1:7">
      <c r="B26" s="958"/>
      <c r="C26" s="958"/>
      <c r="D26" s="958"/>
      <c r="E26" s="958"/>
      <c r="F26" s="958"/>
      <c r="G26" s="958"/>
    </row>
    <row r="27" spans="1:7">
      <c r="B27" s="958"/>
      <c r="C27" s="1005"/>
      <c r="D27" s="1005"/>
      <c r="E27" s="1005"/>
      <c r="F27" s="1005"/>
      <c r="G27" s="1006"/>
    </row>
    <row r="28" spans="1:7">
      <c r="B28" s="958"/>
      <c r="C28" s="1005"/>
      <c r="D28" s="1005"/>
      <c r="E28" s="1005"/>
      <c r="F28" s="1005"/>
      <c r="G28" s="1006"/>
    </row>
    <row r="29" spans="1:7">
      <c r="B29" s="958"/>
      <c r="C29" s="1005"/>
      <c r="D29" s="1005"/>
      <c r="E29" s="1005"/>
      <c r="F29" s="1005"/>
      <c r="G29" s="1006"/>
    </row>
    <row r="30" spans="1:7">
      <c r="B30" s="958"/>
      <c r="C30" s="1005"/>
      <c r="D30" s="1005"/>
      <c r="E30" s="1005"/>
      <c r="F30" s="1005"/>
      <c r="G30" s="1006"/>
    </row>
    <row r="31" spans="1:7">
      <c r="B31" s="958"/>
      <c r="C31" s="1005"/>
      <c r="D31" s="1005"/>
      <c r="E31" s="1005"/>
      <c r="F31" s="1005"/>
      <c r="G31" s="1006"/>
    </row>
    <row r="32" spans="1:7">
      <c r="B32" s="958"/>
      <c r="C32" s="1005"/>
      <c r="D32" s="1005"/>
      <c r="E32" s="1005"/>
      <c r="F32" s="1005"/>
      <c r="G32" s="1006"/>
    </row>
    <row r="33" spans="2:7">
      <c r="B33" s="958"/>
      <c r="C33" s="1005"/>
      <c r="D33" s="1005"/>
      <c r="E33" s="1005"/>
      <c r="F33" s="1005"/>
      <c r="G33" s="1006"/>
    </row>
    <row r="34" spans="2:7">
      <c r="B34" s="958"/>
      <c r="C34" s="1005"/>
      <c r="D34" s="1005"/>
      <c r="E34" s="1005"/>
      <c r="F34" s="1005"/>
      <c r="G34" s="1005"/>
    </row>
    <row r="35" spans="2:7">
      <c r="B35" s="958"/>
      <c r="C35" s="1006"/>
      <c r="D35" s="1006"/>
      <c r="E35" s="1006"/>
      <c r="F35" s="1006"/>
      <c r="G35" s="1006"/>
    </row>
    <row r="37" spans="2:7">
      <c r="B37" s="9"/>
      <c r="C37" s="487"/>
      <c r="D37" s="487"/>
      <c r="E37" s="487"/>
      <c r="F37" s="487"/>
      <c r="G37" s="487"/>
    </row>
    <row r="66" spans="10:10">
      <c r="J66" s="962"/>
    </row>
  </sheetData>
  <mergeCells count="4">
    <mergeCell ref="A1:G1"/>
    <mergeCell ref="A2:G2"/>
    <mergeCell ref="C5:G5"/>
    <mergeCell ref="C22:G22"/>
  </mergeCells>
  <pageMargins left="0.7" right="0.7" top="0.75" bottom="0.75" header="0.3" footer="0.3"/>
  <pageSetup scale="73" orientation="landscape" r:id="rId1"/>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99695-0DF3-4868-B086-5FEC5D698600}">
  <sheetPr>
    <pageSetUpPr fitToPage="1"/>
  </sheetPr>
  <dimension ref="A1:R62"/>
  <sheetViews>
    <sheetView workbookViewId="0">
      <selection sqref="A1:E1"/>
    </sheetView>
  </sheetViews>
  <sheetFormatPr defaultColWidth="8.77734375" defaultRowHeight="15.75"/>
  <cols>
    <col min="1" max="1" width="6" style="962" customWidth="1"/>
    <col min="2" max="2" width="71" style="962" customWidth="1"/>
    <col min="3" max="4" width="12.44140625" style="962" customWidth="1"/>
    <col min="5" max="5" width="13.109375" style="962" customWidth="1"/>
    <col min="6" max="6" width="10.77734375" style="962" bestFit="1" customWidth="1"/>
    <col min="7" max="8" width="8.77734375" style="962"/>
    <col min="9" max="16384" width="8.77734375" style="960"/>
  </cols>
  <sheetData>
    <row r="1" spans="1:18">
      <c r="A1" s="1111" t="s">
        <v>1069</v>
      </c>
      <c r="B1" s="1111"/>
      <c r="C1" s="1111"/>
      <c r="D1" s="1111"/>
      <c r="E1" s="1111"/>
      <c r="F1" s="1111"/>
      <c r="G1" s="958"/>
      <c r="H1" s="958"/>
      <c r="I1" s="959"/>
      <c r="J1" s="959"/>
      <c r="K1" s="959"/>
      <c r="L1" s="959"/>
      <c r="M1" s="959"/>
      <c r="N1" s="959"/>
      <c r="O1" s="959"/>
      <c r="P1" s="959"/>
      <c r="Q1" s="959"/>
      <c r="R1" s="959"/>
    </row>
    <row r="2" spans="1:18">
      <c r="A2" s="1112" t="s">
        <v>1070</v>
      </c>
      <c r="B2" s="1112"/>
      <c r="C2" s="1112"/>
      <c r="D2" s="1112"/>
      <c r="E2" s="1112"/>
      <c r="F2" s="1112"/>
      <c r="G2" s="958"/>
      <c r="H2" s="958"/>
      <c r="I2" s="959"/>
      <c r="J2" s="959"/>
      <c r="K2" s="959"/>
      <c r="L2" s="959"/>
      <c r="M2" s="959"/>
      <c r="N2" s="959"/>
      <c r="O2" s="959"/>
      <c r="P2" s="959"/>
      <c r="Q2" s="959"/>
      <c r="R2" s="959"/>
    </row>
    <row r="4" spans="1:18">
      <c r="B4" s="958"/>
      <c r="C4" s="958"/>
      <c r="D4" s="1001"/>
      <c r="E4" s="958"/>
      <c r="F4" s="958"/>
      <c r="K4" s="241"/>
    </row>
    <row r="5" spans="1:18" ht="31.5">
      <c r="B5" s="958" t="s">
        <v>1071</v>
      </c>
      <c r="C5" s="979" t="s">
        <v>1072</v>
      </c>
      <c r="D5" s="979" t="s">
        <v>1073</v>
      </c>
      <c r="E5" s="979" t="s">
        <v>1074</v>
      </c>
      <c r="F5" s="957" t="s">
        <v>57</v>
      </c>
    </row>
    <row r="6" spans="1:18">
      <c r="A6" s="1002">
        <v>1</v>
      </c>
      <c r="B6" s="969"/>
      <c r="C6" s="1003"/>
      <c r="D6" s="1003"/>
      <c r="E6" s="1003"/>
      <c r="F6" s="1004">
        <f t="shared" ref="F6:F12" si="0">SUM(C6:E6)</f>
        <v>0</v>
      </c>
    </row>
    <row r="7" spans="1:18">
      <c r="A7" s="962" t="s">
        <v>269</v>
      </c>
      <c r="B7" s="969"/>
      <c r="C7" s="1003"/>
      <c r="D7" s="1003"/>
      <c r="E7" s="1003"/>
      <c r="F7" s="1004">
        <f t="shared" si="0"/>
        <v>0</v>
      </c>
    </row>
    <row r="8" spans="1:18">
      <c r="A8" s="962" t="s">
        <v>900</v>
      </c>
      <c r="B8" s="969"/>
      <c r="C8" s="1003"/>
      <c r="D8" s="1003"/>
      <c r="E8" s="1003"/>
      <c r="F8" s="1004">
        <f t="shared" si="0"/>
        <v>0</v>
      </c>
    </row>
    <row r="9" spans="1:18">
      <c r="A9" s="962" t="s">
        <v>901</v>
      </c>
      <c r="B9" s="969"/>
      <c r="C9" s="1003"/>
      <c r="D9" s="1003"/>
      <c r="E9" s="1003"/>
      <c r="F9" s="1004">
        <f t="shared" si="0"/>
        <v>0</v>
      </c>
    </row>
    <row r="10" spans="1:18">
      <c r="A10" s="962" t="s">
        <v>271</v>
      </c>
      <c r="B10" s="969"/>
      <c r="C10" s="1003"/>
      <c r="D10" s="1003"/>
      <c r="E10" s="1003"/>
      <c r="F10" s="1004">
        <f t="shared" si="0"/>
        <v>0</v>
      </c>
    </row>
    <row r="11" spans="1:18">
      <c r="A11" s="962" t="s">
        <v>271</v>
      </c>
      <c r="B11" s="969"/>
      <c r="C11" s="1003"/>
      <c r="D11" s="1003"/>
      <c r="E11" s="1003"/>
      <c r="F11" s="1004">
        <f t="shared" si="0"/>
        <v>0</v>
      </c>
    </row>
    <row r="12" spans="1:18">
      <c r="A12" s="962" t="s">
        <v>271</v>
      </c>
      <c r="B12" s="969"/>
      <c r="C12" s="1003"/>
      <c r="D12" s="1003"/>
      <c r="E12" s="1003"/>
      <c r="F12" s="1004">
        <f t="shared" si="0"/>
        <v>0</v>
      </c>
    </row>
    <row r="13" spans="1:18">
      <c r="B13" s="958"/>
      <c r="C13" s="1005"/>
      <c r="D13" s="1005"/>
      <c r="E13" s="1005"/>
      <c r="F13" s="1005"/>
    </row>
    <row r="14" spans="1:18">
      <c r="A14" s="962">
        <v>2</v>
      </c>
      <c r="B14" s="958" t="s">
        <v>57</v>
      </c>
      <c r="C14" s="1006">
        <f>SUM(C6:C12)</f>
        <v>0</v>
      </c>
      <c r="D14" s="1006">
        <f>SUM(D6:D12)</f>
        <v>0</v>
      </c>
      <c r="E14" s="1006">
        <f>SUM(E6:E12)</f>
        <v>0</v>
      </c>
      <c r="F14" s="1006">
        <f>SUM(F6:F12)</f>
        <v>0</v>
      </c>
    </row>
    <row r="16" spans="1:18">
      <c r="B16" s="958" t="s">
        <v>1075</v>
      </c>
    </row>
    <row r="18" spans="2:6">
      <c r="B18" s="958"/>
      <c r="C18" s="1111"/>
      <c r="D18" s="1111"/>
      <c r="E18" s="1111"/>
      <c r="F18" s="1111"/>
    </row>
    <row r="19" spans="2:6">
      <c r="B19" s="958"/>
      <c r="C19" s="979"/>
      <c r="D19" s="979"/>
      <c r="E19" s="979"/>
      <c r="F19" s="957"/>
    </row>
    <row r="20" spans="2:6">
      <c r="B20" s="958"/>
      <c r="C20" s="979"/>
      <c r="D20" s="979"/>
      <c r="E20" s="979"/>
      <c r="F20" s="957"/>
    </row>
    <row r="21" spans="2:6">
      <c r="B21" s="958"/>
      <c r="C21" s="958"/>
      <c r="D21" s="1001"/>
      <c r="E21" s="958"/>
      <c r="F21" s="958"/>
    </row>
    <row r="22" spans="2:6">
      <c r="B22" s="958"/>
      <c r="C22" s="958"/>
      <c r="D22" s="958"/>
      <c r="E22" s="958"/>
      <c r="F22" s="958"/>
    </row>
    <row r="23" spans="2:6">
      <c r="B23" s="958"/>
      <c r="C23" s="1005"/>
      <c r="D23" s="1005"/>
      <c r="E23" s="1005"/>
      <c r="F23" s="1006"/>
    </row>
    <row r="24" spans="2:6">
      <c r="B24" s="958"/>
      <c r="C24" s="1005"/>
      <c r="D24" s="1005"/>
      <c r="E24" s="1005"/>
      <c r="F24" s="1006"/>
    </row>
    <row r="25" spans="2:6">
      <c r="B25" s="958"/>
      <c r="C25" s="1005"/>
      <c r="D25" s="1005"/>
      <c r="E25" s="1005"/>
      <c r="F25" s="1006"/>
    </row>
    <row r="26" spans="2:6">
      <c r="B26" s="958"/>
      <c r="C26" s="1005"/>
      <c r="D26" s="1005"/>
      <c r="E26" s="1005"/>
      <c r="F26" s="1006"/>
    </row>
    <row r="27" spans="2:6">
      <c r="B27" s="958"/>
      <c r="C27" s="1005"/>
      <c r="D27" s="1005"/>
      <c r="E27" s="1005"/>
      <c r="F27" s="1006"/>
    </row>
    <row r="28" spans="2:6">
      <c r="B28" s="958"/>
      <c r="C28" s="1005"/>
      <c r="D28" s="1005"/>
      <c r="E28" s="1005"/>
      <c r="F28" s="1006"/>
    </row>
    <row r="29" spans="2:6">
      <c r="B29" s="958"/>
      <c r="C29" s="1005"/>
      <c r="D29" s="1005"/>
      <c r="E29" s="1005"/>
      <c r="F29" s="1006"/>
    </row>
    <row r="30" spans="2:6">
      <c r="B30" s="958"/>
      <c r="C30" s="1005"/>
      <c r="D30" s="1005"/>
      <c r="E30" s="1005"/>
      <c r="F30" s="1005"/>
    </row>
    <row r="31" spans="2:6">
      <c r="B31" s="958"/>
      <c r="C31" s="1006"/>
      <c r="D31" s="1006"/>
      <c r="E31" s="1006"/>
      <c r="F31" s="1006"/>
    </row>
    <row r="33" spans="2:6">
      <c r="B33" s="9"/>
      <c r="C33" s="487"/>
      <c r="D33" s="487"/>
      <c r="E33" s="487"/>
      <c r="F33" s="487"/>
    </row>
    <row r="62" spans="9:9">
      <c r="I62" s="962"/>
    </row>
  </sheetData>
  <mergeCells count="3">
    <mergeCell ref="A1:F1"/>
    <mergeCell ref="A2:F2"/>
    <mergeCell ref="C18:F18"/>
  </mergeCells>
  <pageMargins left="0.7" right="0.7" top="0.75" bottom="0.75" header="0.3" footer="0.3"/>
  <pageSetup scale="81" orientation="landscape"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DD10FF7E10AC4DB513CF7E905DCC46" ma:contentTypeVersion="14" ma:contentTypeDescription="Create a new document." ma:contentTypeScope="" ma:versionID="6550e555d298f322e1cdf8218275e057">
  <xsd:schema xmlns:xsd="http://www.w3.org/2001/XMLSchema" xmlns:xs="http://www.w3.org/2001/XMLSchema" xmlns:p="http://schemas.microsoft.com/office/2006/metadata/properties" xmlns:ns1="http://schemas.microsoft.com/sharepoint/v3" xmlns:ns2="0a428985-589e-4636-af6f-a5dd626f16b5" xmlns:ns3="2215fc16-02a1-4a5d-a281-157c6e03c2e4" targetNamespace="http://schemas.microsoft.com/office/2006/metadata/properties" ma:root="true" ma:fieldsID="244dd3965d74aa88200c9fa437b897c0" ns1:_="" ns2:_="" ns3:_="">
    <xsd:import namespace="http://schemas.microsoft.com/sharepoint/v3"/>
    <xsd:import namespace="0a428985-589e-4636-af6f-a5dd626f16b5"/>
    <xsd:import namespace="2215fc16-02a1-4a5d-a281-157c6e03c2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428985-589e-4636-af6f-a5dd626f16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c379444-718f-4044-93bd-bdc834bc632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15fc16-02a1-4a5d-a281-157c6e03c2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c431f4-3afe-40bf-8475-5b890f96253e}" ma:internalName="TaxCatchAll" ma:showField="CatchAllData" ma:web="2215fc16-02a1-4a5d-a281-157c6e03c2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215fc16-02a1-4a5d-a281-157c6e03c2e4" xsi:nil="true"/>
    <lcf76f155ced4ddcb4097134ff3c332f xmlns="0a428985-589e-4636-af6f-a5dd626f16b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642C2E2-269A-4E6E-98EB-E1F5712D30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a428985-589e-4636-af6f-a5dd626f16b5"/>
    <ds:schemaRef ds:uri="2215fc16-02a1-4a5d-a281-157c6e03c2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9B49CD-533C-4560-8FB6-757B3C7B80C4}">
  <ds:schemaRefs>
    <ds:schemaRef ds:uri="http://schemas.microsoft.com/sharepoint/v3/contenttype/forms"/>
  </ds:schemaRefs>
</ds:datastoreItem>
</file>

<file path=customXml/itemProps3.xml><?xml version="1.0" encoding="utf-8"?>
<ds:datastoreItem xmlns:ds="http://schemas.openxmlformats.org/officeDocument/2006/customXml" ds:itemID="{997E7C5B-2824-4A29-B5E3-F8FDEBB877EF}">
  <ds:schemaRefs>
    <ds:schemaRef ds:uri="http://schemas.microsoft.com/office/2006/metadata/properties"/>
    <ds:schemaRef ds:uri="http://schemas.microsoft.com/office/infopath/2007/PartnerControls"/>
    <ds:schemaRef ds:uri="http://schemas.microsoft.com/sharepoint/v3"/>
    <ds:schemaRef ds:uri="2215fc16-02a1-4a5d-a281-157c6e03c2e4"/>
    <ds:schemaRef ds:uri="0a428985-589e-4636-af6f-a5dd626f16b5"/>
  </ds:schemaRefs>
</ds:datastoreItem>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31</vt:i4>
      </vt:variant>
    </vt:vector>
  </HeadingPairs>
  <TitlesOfParts>
    <vt:vector size="58" baseType="lpstr">
      <vt:lpstr>Index</vt:lpstr>
      <vt:lpstr>Appendix III</vt:lpstr>
      <vt:lpstr>1 - Revenue Credits</vt:lpstr>
      <vt:lpstr>2 - Cost Support </vt:lpstr>
      <vt:lpstr>2a - Cost Support</vt:lpstr>
      <vt:lpstr>2b - Cost Support</vt:lpstr>
      <vt:lpstr>3 - Incentives</vt:lpstr>
      <vt:lpstr>3a - Incentives</vt:lpstr>
      <vt:lpstr>4 - Cap Adds</vt:lpstr>
      <vt:lpstr>5 - True-Up</vt:lpstr>
      <vt:lpstr>6a-ADIT Projection</vt:lpstr>
      <vt:lpstr>6b-ADIT Projection Proration</vt:lpstr>
      <vt:lpstr>6c- ADIT BOY</vt:lpstr>
      <vt:lpstr>6d- ADIT EOY</vt:lpstr>
      <vt:lpstr>6e-ADIT True-up</vt:lpstr>
      <vt:lpstr>6f-ADIT True-up Proration</vt:lpstr>
      <vt:lpstr>7- Depreciation Rates</vt:lpstr>
      <vt:lpstr>8 - Future Use</vt:lpstr>
      <vt:lpstr>9 - Reg. Assets and Abnd Plnt</vt:lpstr>
      <vt:lpstr>10 - Unfunded Reserves</vt:lpstr>
      <vt:lpstr>11 - CWIP</vt:lpstr>
      <vt:lpstr>12 - Income Tax Adjustment</vt:lpstr>
      <vt:lpstr>WP1 - O&amp;M detail</vt:lpstr>
      <vt:lpstr>WP2 - A&amp;G detail</vt:lpstr>
      <vt:lpstr>WP3 - Cap Ex</vt:lpstr>
      <vt:lpstr>WP4 - Affiliate Allocations</vt:lpstr>
      <vt:lpstr>WP5 - Cost Allocation</vt:lpstr>
      <vt:lpstr>'1 - Revenue Credits'!Print_Area</vt:lpstr>
      <vt:lpstr>'11 - CWIP'!Print_Area</vt:lpstr>
      <vt:lpstr>'12 - Income Tax Adjustment'!Print_Area</vt:lpstr>
      <vt:lpstr>'2 - Cost Support '!Print_Area</vt:lpstr>
      <vt:lpstr>'2a - Cost Support'!Print_Area</vt:lpstr>
      <vt:lpstr>'2b - Cost Support'!Print_Area</vt:lpstr>
      <vt:lpstr>'3 - Incentives'!Print_Area</vt:lpstr>
      <vt:lpstr>'3a - Incentives'!Print_Area</vt:lpstr>
      <vt:lpstr>'4 - Cap Adds'!Print_Area</vt:lpstr>
      <vt:lpstr>'5 - True-Up'!Print_Area</vt:lpstr>
      <vt:lpstr>'6a-ADIT Projection'!Print_Area</vt:lpstr>
      <vt:lpstr>'6b-ADIT Projection Proration'!Print_Area</vt:lpstr>
      <vt:lpstr>'6c- ADIT BOY'!Print_Area</vt:lpstr>
      <vt:lpstr>'6d- ADIT EOY'!Print_Area</vt:lpstr>
      <vt:lpstr>'6e-ADIT True-up'!Print_Area</vt:lpstr>
      <vt:lpstr>'6f-ADIT True-up Proration'!Print_Area</vt:lpstr>
      <vt:lpstr>'7- Depreciation Rates'!Print_Area</vt:lpstr>
      <vt:lpstr>'9 - Reg. Assets and Abnd Plnt'!Print_Area</vt:lpstr>
      <vt:lpstr>'Appendix III'!Print_Area</vt:lpstr>
      <vt:lpstr>Index!Print_Area</vt:lpstr>
      <vt:lpstr>'WP1 - O&amp;M detail'!Print_Area</vt:lpstr>
      <vt:lpstr>'WP2 - A&amp;G detail'!Print_Area</vt:lpstr>
      <vt:lpstr>'WP3 - Cap Ex'!Print_Area</vt:lpstr>
      <vt:lpstr>'WP4 - Affiliate Allocations'!Print_Area</vt:lpstr>
      <vt:lpstr>'WP5 - Cost Allocation'!Print_Area</vt:lpstr>
      <vt:lpstr>'11 - CWIP'!Print_Titles</vt:lpstr>
      <vt:lpstr>'3a - Incentives'!Print_Titles</vt:lpstr>
      <vt:lpstr>'6a-ADIT Projection'!Print_Titles</vt:lpstr>
      <vt:lpstr>'6b-ADIT Projection Proration'!Print_Titles</vt:lpstr>
      <vt:lpstr>'6e-ADIT True-up'!Print_Titles</vt:lpstr>
      <vt:lpstr>'6f-ADIT True-up Proration'!Print_Titles</vt:lpstr>
    </vt:vector>
  </TitlesOfParts>
  <Company>NexteraEnergy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Ioannides, Kimberly</dc:creator>
  <cp:lastModifiedBy>Ioannides, Kimberly</cp:lastModifiedBy>
  <dcterms:created xsi:type="dcterms:W3CDTF">2026-09-21T13:26:33Z</dcterms:created>
  <dcterms:modified xsi:type="dcterms:W3CDTF">2026-10-15T16:33:42Z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0x010100D6DD10FF7E10AC4DB513CF7E905DCC46</vt:lpwstr>
  </property>
  <property fmtid="{D5CDD505-2E9C-101B-9397-08002B2CF9AE}" pid="3" name="MediaServiceImageTags">
    <vt:lpwstr/>
  </property>
</Properties>
</file>